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0920" activeTab="2"/>
  </bookViews>
  <sheets>
    <sheet name="ЛЕС" sheetId="1" r:id="rId1"/>
    <sheet name="Переработка" sheetId="2" r:id="rId2"/>
    <sheet name="Прочая продукция" sheetId="3" r:id="rId3"/>
    <sheet name="Услуги" sheetId="4" r:id="rId4"/>
  </sheets>
  <definedNames>
    <definedName name="_xlnm.Print_Area" localSheetId="0">'ЛЕС'!$A$1:$H$280</definedName>
    <definedName name="_xlnm.Print_Area" localSheetId="1">'Переработка'!$A$1:$D$21</definedName>
    <definedName name="_xlnm.Print_Area" localSheetId="2">'Прочая продукция'!$A$1:$D$29</definedName>
    <definedName name="_xlnm.Print_Area" localSheetId="3">'Услуги'!$A$1:$D$72</definedName>
  </definedNames>
  <calcPr fullCalcOnLoad="1"/>
</workbook>
</file>

<file path=xl/sharedStrings.xml><?xml version="1.0" encoding="utf-8"?>
<sst xmlns="http://schemas.openxmlformats.org/spreadsheetml/2006/main" count="493" uniqueCount="286">
  <si>
    <t>СТБ 1711-2007      ГОСТ 17462-84</t>
  </si>
  <si>
    <t>сосна, ель, лиственница, пихта</t>
  </si>
  <si>
    <t>длина 3.0 - 6.5 м</t>
  </si>
  <si>
    <t>№ п/п</t>
  </si>
  <si>
    <t>Диаметр, см</t>
  </si>
  <si>
    <t>Сорт</t>
  </si>
  <si>
    <t>Цена за 1 плотный куб. м, бел.руб. без НДС</t>
  </si>
  <si>
    <t>10 - 13</t>
  </si>
  <si>
    <t>14 - 18</t>
  </si>
  <si>
    <t>20 - 24</t>
  </si>
  <si>
    <t>26 и более</t>
  </si>
  <si>
    <t>длина 2.75; 5.5 м</t>
  </si>
  <si>
    <t>Для выработки изделий различного назначения</t>
  </si>
  <si>
    <t>сосна, ель</t>
  </si>
  <si>
    <t>длина 2.0 - 6.0 м</t>
  </si>
  <si>
    <t>6 - 18</t>
  </si>
  <si>
    <t>Для выработки строганого шпона</t>
  </si>
  <si>
    <t>сосна, лиственница</t>
  </si>
  <si>
    <t>длина не менее 2.5 м</t>
  </si>
  <si>
    <t>32 и более</t>
  </si>
  <si>
    <t>длина 1.3; 1.6 м и кратные</t>
  </si>
  <si>
    <t>18 - 24</t>
  </si>
  <si>
    <t>длина 0.75; 1; 1.1; 1.2; 1.25; 2 м и кратные</t>
  </si>
  <si>
    <t>6 - 24</t>
  </si>
  <si>
    <t>2; 3</t>
  </si>
  <si>
    <t>Для вспомогательных и временных построек различного назначения</t>
  </si>
  <si>
    <t>(подтоварник)</t>
  </si>
  <si>
    <t>длина 3 - 6.5 м</t>
  </si>
  <si>
    <t>6 - 13</t>
  </si>
  <si>
    <t>а) Для выработки пиломатериалов и заготовок общего назначения (пиловочное бревно)</t>
  </si>
  <si>
    <t>1.1 ЛЕСОМАТЕРИАЛЫ КРУГЛЫЕ ХВОЙНЫХ ПОРОД</t>
  </si>
  <si>
    <t>1.1.1 Лесоматериалы для распиловки и строгания</t>
  </si>
  <si>
    <t>б) Для шпал железных дорог широкой колеи (шпальное бревно)</t>
  </si>
  <si>
    <t>1.1.2 Лесоматериалы для выработки оцилиндрованых изделий</t>
  </si>
  <si>
    <t>1.1.3 Лесоматериалы для выработки шпона</t>
  </si>
  <si>
    <t>а) Для выработки строганого шпона</t>
  </si>
  <si>
    <t xml:space="preserve">б) Для выработки лущеного шпона </t>
  </si>
  <si>
    <t>1.1.5 Лесоматериалы для использования в круглом виде</t>
  </si>
  <si>
    <t>I    Отпускные цены на лесоматериалы круглые и дрова</t>
  </si>
  <si>
    <t>СТБ 1712-2007      ГОСТ 17462-84</t>
  </si>
  <si>
    <t>береза, ольха черная, ильмовые</t>
  </si>
  <si>
    <t>14 - 24</t>
  </si>
  <si>
    <t>осина, ольха серая, тополь</t>
  </si>
  <si>
    <t>14 и более</t>
  </si>
  <si>
    <t xml:space="preserve"> Для выработки пиломатериалов и заготовок общего назначения (пиловочное бревно)</t>
  </si>
  <si>
    <t>1.2.2 Лесоматериалы для выработки шпона</t>
  </si>
  <si>
    <t>береза и все мягколиственные породы</t>
  </si>
  <si>
    <t>длина не менее 1.5 м</t>
  </si>
  <si>
    <t>24 и более</t>
  </si>
  <si>
    <t>береза, липа, ольха</t>
  </si>
  <si>
    <t>16 - 24</t>
  </si>
  <si>
    <t xml:space="preserve">осина </t>
  </si>
  <si>
    <t>осина. тополь, липа, ольха</t>
  </si>
  <si>
    <t>длина не менее 2 м</t>
  </si>
  <si>
    <t>1, 2</t>
  </si>
  <si>
    <t>6 - 40</t>
  </si>
  <si>
    <t>1.2.4 Лесоматериалы для использования в круглом виде</t>
  </si>
  <si>
    <t>длина не менее 3 м</t>
  </si>
  <si>
    <t>8 - 11</t>
  </si>
  <si>
    <t>1.2  ЛЕСОМАТЕРИАЛЫ КРУГЛЫЕ БЕРЕЗОВОЙ И МЯГКИХ ЛИСТВЕННЫХ ПОРОД</t>
  </si>
  <si>
    <t>1.3  ЛЕСОМАТЕРИАЛЫ КРУГЛЫЕ ТВЕРДОЛИСТВЕННЫХ ПОРОД</t>
  </si>
  <si>
    <t>1.3.1 Лесоматериалы для распиловки и строгания</t>
  </si>
  <si>
    <t>дуб, ясень, клен, граб</t>
  </si>
  <si>
    <t>26 - 34</t>
  </si>
  <si>
    <t>36 и более</t>
  </si>
  <si>
    <t>1.3.2 Лесоматериалы для выработки шпона</t>
  </si>
  <si>
    <t>длина 1.0 - 6.0 м</t>
  </si>
  <si>
    <t>24 - 34</t>
  </si>
  <si>
    <t>1.3.3 Лесоматериалы для использования в круглом виде</t>
  </si>
  <si>
    <t>1.4   ЖЕРДИ</t>
  </si>
  <si>
    <t>ТУ РБ 100195503.010-2000</t>
  </si>
  <si>
    <t>3 - 5</t>
  </si>
  <si>
    <t>Сосна, ель, лиственница, пихта</t>
  </si>
  <si>
    <t>3 - 7</t>
  </si>
  <si>
    <t>Береза,             ольха черная, ильмовые</t>
  </si>
  <si>
    <t>Осина,             ольха серая, тополь</t>
  </si>
  <si>
    <t>Дуб, ясень, клен, граб</t>
  </si>
  <si>
    <t>1.5   СЫРЬЕ ДРЕВЕСНОЕ ТЕХНОЛОГИЧЕСКОЕ</t>
  </si>
  <si>
    <t>ГОСТ 4106-74</t>
  </si>
  <si>
    <t>длина 0.5 - 6.5 м</t>
  </si>
  <si>
    <t>от 0.4</t>
  </si>
  <si>
    <t>1.6   СЫРЬЕ ДРЕВЕСНОЕ ДЛЯ ВЫРАБОТКИ ДУБИЛЬНЫХ ЭКСТРАКТОВ</t>
  </si>
  <si>
    <t>заготавливаемые при проведении рубок главного пользования, рубок ухода за лесом,</t>
  </si>
  <si>
    <t>санитарных и прочих рубок, других лесохозяйственных работ и реализуемые на условиях</t>
  </si>
  <si>
    <t>Дрова сырые (свыше 25% влажности)</t>
  </si>
  <si>
    <t>СТБ 1510-2004</t>
  </si>
  <si>
    <t>Порода</t>
  </si>
  <si>
    <t>Длина, м</t>
  </si>
  <si>
    <t>Сосна, ольха</t>
  </si>
  <si>
    <t>1.5 - 2</t>
  </si>
  <si>
    <t>Береза, бук, ясень, граб, ильм, вяз, клен, дуб, лиственница</t>
  </si>
  <si>
    <t>Ель, кедр,пихта, осина, липа, тополь, ива</t>
  </si>
  <si>
    <t>франко-нижний лесосклад (склад предприятия)</t>
  </si>
  <si>
    <t>франко-вагон (судно) станция (пристань) отправления</t>
  </si>
  <si>
    <t>2.2.1 Лесоматериалы для распиловки и строгания</t>
  </si>
  <si>
    <t>реализуемые населению государственными лесохозяйственными учреждениями</t>
  </si>
  <si>
    <t>СТБ 1510-2004 "Дрова"</t>
  </si>
  <si>
    <t>Дуб, клен, береза, граб</t>
  </si>
  <si>
    <t>Осина, тополь, липа, ель, ива</t>
  </si>
  <si>
    <t>ТУ РБ 00969296.003-97 "Отходы древесные"</t>
  </si>
  <si>
    <t>Отходы лесозаготовок (отрезки хлыстов, сучья, вершины, ветки, откомлевка, кора)</t>
  </si>
  <si>
    <t>Отходы деревообработки (горбыль, отрезки пиломатериалов и заготовок, опилки)</t>
  </si>
  <si>
    <t>Франко-промежуточный лесосклад</t>
  </si>
  <si>
    <t>Франко-нижний лесосклад</t>
  </si>
  <si>
    <t>Франко-вагон</t>
  </si>
  <si>
    <t>2. ОТПУСКНЫЕ ЦЕНЫ НА ДРОВА В ЗАГОТОВЛЕННОМ ВИДЕ</t>
  </si>
  <si>
    <t>франко-верхний лесосклад, франко-промежуточный лесосклад (лесничество),</t>
  </si>
  <si>
    <t>Франко-верхний лесосклад</t>
  </si>
  <si>
    <t xml:space="preserve">3. РОЗНИЧНЫЕ ЦЕНЫ НА ДРОВА </t>
  </si>
  <si>
    <t>и другими организациями для отопления</t>
  </si>
  <si>
    <t>франко-нижний лесосклад (склад предприятия),</t>
  </si>
  <si>
    <t>ОТПУСКНЫХ ЦЕН И ТАРИФОВ НА ПРОДУКЦИЮ (РАБОТЫ, УСЛУГИ)</t>
  </si>
  <si>
    <t>ГОЛХУ "Речицкий опытный лесхоз"</t>
  </si>
  <si>
    <t>II    Отпускные цены на продукцию переработки</t>
  </si>
  <si>
    <t>Наименование</t>
  </si>
  <si>
    <t>Единица измерения</t>
  </si>
  <si>
    <t>Отпускная цена , бел.руб. без НДС</t>
  </si>
  <si>
    <t>ТУ ВУ 100145188.003-2009</t>
  </si>
  <si>
    <t>франко-промежуточный лесосклад</t>
  </si>
  <si>
    <t>плотный куб.м</t>
  </si>
  <si>
    <t>франко-склад поставщика (склад предприятия)</t>
  </si>
  <si>
    <t>франко-склад потребителя</t>
  </si>
  <si>
    <t>осина</t>
  </si>
  <si>
    <t>сосна, ольха</t>
  </si>
  <si>
    <t>береза, дуб</t>
  </si>
  <si>
    <t>107</t>
  </si>
  <si>
    <t>108</t>
  </si>
  <si>
    <t>109</t>
  </si>
  <si>
    <t>113</t>
  </si>
  <si>
    <t>114</t>
  </si>
  <si>
    <t>115</t>
  </si>
  <si>
    <t>III    Отпускные цены на прочую продукцию</t>
  </si>
  <si>
    <t>Метла хозяйственная</t>
  </si>
  <si>
    <t>шт.</t>
  </si>
  <si>
    <t>кг</t>
  </si>
  <si>
    <t>Грибы вешенка</t>
  </si>
  <si>
    <t>Саженцы древесных пород</t>
  </si>
  <si>
    <t>Желуди</t>
  </si>
  <si>
    <t>Семена сосны</t>
  </si>
  <si>
    <t>IV    Отпускные цены (тарифы) на услуги</t>
  </si>
  <si>
    <t>Наименование услуг</t>
  </si>
  <si>
    <t>Отпускная цена (тариф), бел.руб. без НДС</t>
  </si>
  <si>
    <t>Услуги автомобиля МАЗ</t>
  </si>
  <si>
    <t>за 1 час</t>
  </si>
  <si>
    <t>за 1 км</t>
  </si>
  <si>
    <t>за 1 т/км</t>
  </si>
  <si>
    <t>Услуги автомобиля ГАЗ</t>
  </si>
  <si>
    <t>Услуги трактора с гидроманипулятором (МПТ461.1, МЛПТ)</t>
  </si>
  <si>
    <t>2  Прочие услуги</t>
  </si>
  <si>
    <t>Услуги по лесозаготовке (заготовка, трелевка, подвозка)</t>
  </si>
  <si>
    <t>за куб.м</t>
  </si>
  <si>
    <t>Изготовление щепы топливной рубильной машиной Mersedes Benz Astros 3344 6х6:</t>
  </si>
  <si>
    <t>Механизированная трелевка</t>
  </si>
  <si>
    <t>Механизированная погрузка л/м на автотранспорт</t>
  </si>
  <si>
    <t>Колка дров установкой МТС 202</t>
  </si>
  <si>
    <t>- хвойных пород</t>
  </si>
  <si>
    <t>- твердолиственных пород</t>
  </si>
  <si>
    <t>Услуги по распиловке лесоматериалов</t>
  </si>
  <si>
    <t>- обрезные хвойных пород</t>
  </si>
  <si>
    <t>- необрезные хвойных пород</t>
  </si>
  <si>
    <t>- обрезные мягколиственных пород</t>
  </si>
  <si>
    <t>- необрезные мягколиственных пород</t>
  </si>
  <si>
    <t>- обрезные твердолиственных пород</t>
  </si>
  <si>
    <t>- необрезные твердолиственных пород</t>
  </si>
  <si>
    <t>Услуги по погрузке дров вручную</t>
  </si>
  <si>
    <t>Услуги по раскряжевке дров вручную</t>
  </si>
  <si>
    <t>Услуги по колке дров вручную</t>
  </si>
  <si>
    <t>Услуги егеря</t>
  </si>
  <si>
    <t>Услуги по отводу и таксации</t>
  </si>
  <si>
    <t>за 1 га</t>
  </si>
  <si>
    <t>Примечание. При отпуске лесоматериалов круглых, длина которых больше указанной в прейскуранте,</t>
  </si>
  <si>
    <t>к ценам на них производить надбавку в размере 20%.</t>
  </si>
  <si>
    <t>Услуги автобуса Радизимич</t>
  </si>
  <si>
    <t>157</t>
  </si>
  <si>
    <t>158</t>
  </si>
  <si>
    <t>Дрова смешанных пород</t>
  </si>
  <si>
    <t xml:space="preserve">франко-склад потребителя </t>
  </si>
  <si>
    <t>франко-вагон станция отправления</t>
  </si>
  <si>
    <t>-</t>
  </si>
  <si>
    <t>Мед натуральный</t>
  </si>
  <si>
    <t>надбавка на дрова 1,5-2 метра</t>
  </si>
  <si>
    <t>100</t>
  </si>
  <si>
    <t>101</t>
  </si>
  <si>
    <t>102</t>
  </si>
  <si>
    <t>103</t>
  </si>
  <si>
    <t>104</t>
  </si>
  <si>
    <t>3.Услуги по охотхозяйству</t>
  </si>
  <si>
    <t>1 сутки</t>
  </si>
  <si>
    <t>Проживание в охотничьем домике в номере обычной комфортабельности(прокат электроплиты,прокат электрочайника,прокат комплекта столовой посуды,прокат комплекта посуды для приготовления пищи)</t>
  </si>
  <si>
    <t>за койко-сутки</t>
  </si>
  <si>
    <t>за 1час на 1чел.</t>
  </si>
  <si>
    <t>1 час</t>
  </si>
  <si>
    <t>Стоянка автомобиля</t>
  </si>
  <si>
    <t>Прокат комплекта банного</t>
  </si>
  <si>
    <t>на 1 чел.</t>
  </si>
  <si>
    <t>Прокат столовой посуды</t>
  </si>
  <si>
    <t>Прокат мангала с шампурами</t>
  </si>
  <si>
    <t>Прокат ведра для приготовления ухи</t>
  </si>
  <si>
    <t>1час</t>
  </si>
  <si>
    <t>Франко-лесосека</t>
  </si>
  <si>
    <t xml:space="preserve">                                4.ОТПУСКНЫЕ ЦЕНЫ НА ОТХОДЫ</t>
  </si>
  <si>
    <t>за 1 м/ч</t>
  </si>
  <si>
    <t>105</t>
  </si>
  <si>
    <t>106</t>
  </si>
  <si>
    <t>франко-нижний лесосклад</t>
  </si>
  <si>
    <r>
      <t>1</t>
    </r>
    <r>
      <rPr>
        <i/>
        <sz val="12"/>
        <rFont val="Times New Roman"/>
        <family val="1"/>
      </rPr>
      <t xml:space="preserve"> Отпускные цены на лесоматериалы круглые (за исключением дров), </t>
    </r>
  </si>
  <si>
    <r>
      <t>поставляемые на условиях</t>
    </r>
    <r>
      <rPr>
        <b/>
        <i/>
        <sz val="12"/>
        <rFont val="Times New Roman"/>
        <family val="1"/>
      </rPr>
      <t xml:space="preserve"> франко-промежуточный лесосклад (лесничество),</t>
    </r>
  </si>
  <si>
    <r>
      <t>1.1.4 Лесоматериалы для выработки целлюлозы и древесной массы (</t>
    </r>
    <r>
      <rPr>
        <b/>
        <i/>
        <sz val="12"/>
        <rFont val="Times New Roman"/>
        <family val="1"/>
      </rPr>
      <t>балансы</t>
    </r>
    <r>
      <rPr>
        <i/>
        <sz val="12"/>
        <rFont val="Times New Roman"/>
        <family val="1"/>
      </rPr>
      <t>)</t>
    </r>
  </si>
  <si>
    <r>
      <t>б) Для выработки лущеного шпона</t>
    </r>
    <r>
      <rPr>
        <b/>
        <sz val="12"/>
        <rFont val="Times New Roman"/>
        <family val="1"/>
      </rPr>
      <t xml:space="preserve"> (фанерное бревно)</t>
    </r>
  </si>
  <si>
    <r>
      <t>в) Для производства спичек</t>
    </r>
    <r>
      <rPr>
        <b/>
        <sz val="12"/>
        <rFont val="Times New Roman"/>
        <family val="1"/>
      </rPr>
      <t xml:space="preserve"> (спичечное бревно)</t>
    </r>
  </si>
  <si>
    <r>
      <t>1.2.3 Лесоматериалы для выработки целлюлозы и древесной массы (</t>
    </r>
    <r>
      <rPr>
        <b/>
        <i/>
        <sz val="12"/>
        <rFont val="Times New Roman"/>
        <family val="1"/>
      </rPr>
      <t>балансы</t>
    </r>
    <r>
      <rPr>
        <i/>
        <sz val="12"/>
        <rFont val="Times New Roman"/>
        <family val="1"/>
      </rPr>
      <t>)</t>
    </r>
  </si>
  <si>
    <r>
      <t xml:space="preserve">на условиях </t>
    </r>
    <r>
      <rPr>
        <b/>
        <i/>
        <sz val="12"/>
        <rFont val="Times New Roman"/>
        <family val="1"/>
      </rPr>
      <t>франко-лесосека (в пределах нормы отпуска 4,9 куб.м.)</t>
    </r>
  </si>
  <si>
    <r>
      <t xml:space="preserve">                                 4.1 На условиях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франко-лесосека</t>
    </r>
  </si>
  <si>
    <r>
      <t xml:space="preserve">4.2 На условиях </t>
    </r>
    <r>
      <rPr>
        <b/>
        <i/>
        <sz val="12"/>
        <rFont val="Times New Roman"/>
        <family val="1"/>
      </rPr>
      <t>франко-нижний лесосклад</t>
    </r>
  </si>
  <si>
    <r>
      <t>1</t>
    </r>
    <r>
      <rPr>
        <i/>
        <sz val="12"/>
        <rFont val="Times New Roman"/>
        <family val="1"/>
      </rPr>
      <t xml:space="preserve"> Щепа топливная </t>
    </r>
  </si>
  <si>
    <r>
      <t>1.1</t>
    </r>
    <r>
      <rPr>
        <i/>
        <sz val="12"/>
        <rFont val="Times New Roman"/>
        <family val="1"/>
      </rPr>
      <t xml:space="preserve"> Щепа топливная (влажностью до 40 % включительно) реализуемая на условиях:</t>
    </r>
  </si>
  <si>
    <r>
      <t>1.1</t>
    </r>
    <r>
      <rPr>
        <i/>
        <sz val="12"/>
        <rFont val="Times New Roman"/>
        <family val="1"/>
      </rPr>
      <t xml:space="preserve"> Щепа топливная (влажностью свыше 40 % до 60 % включительно) реализуемая на условиях:</t>
    </r>
  </si>
  <si>
    <r>
      <t xml:space="preserve">2. </t>
    </r>
    <r>
      <rPr>
        <i/>
        <sz val="12"/>
        <rFont val="Times New Roman"/>
        <family val="1"/>
      </rPr>
      <t>Дрова колотые для организаций</t>
    </r>
  </si>
  <si>
    <t>франко-склад потребителя (при условии доставки не более 60км)</t>
  </si>
  <si>
    <t>"Банные веники"</t>
  </si>
  <si>
    <t>Услуги трактора МТЗ 80; 82 (трелёвщик)</t>
  </si>
  <si>
    <r>
      <t xml:space="preserve">Услуги </t>
    </r>
    <r>
      <rPr>
        <b/>
        <sz val="12"/>
        <rFont val="Times New Roman"/>
        <family val="1"/>
      </rPr>
      <t>щеповоза</t>
    </r>
    <r>
      <rPr>
        <sz val="12"/>
        <rFont val="Times New Roman"/>
        <family val="1"/>
      </rPr>
      <t xml:space="preserve"> МАЗ - 35516А9</t>
    </r>
  </si>
  <si>
    <r>
      <t xml:space="preserve">МАЗ </t>
    </r>
    <r>
      <rPr>
        <b/>
        <sz val="12"/>
        <rFont val="Times New Roman"/>
        <family val="1"/>
      </rPr>
      <t>(Трал) с прцепом</t>
    </r>
    <r>
      <rPr>
        <sz val="12"/>
        <rFont val="Times New Roman"/>
        <family val="1"/>
      </rPr>
      <t xml:space="preserve"> МАЗ-997700-(011)</t>
    </r>
  </si>
  <si>
    <t xml:space="preserve">1 Отпускные цены (тарифы) на услуги транспорта </t>
  </si>
  <si>
    <t>Примечание:Цены (тарифы) на услуги транспорта, действуют до изменения экономической ситуации (изменение цен на топливо).</t>
  </si>
  <si>
    <t>ПРЕЙСКУРАНТ</t>
  </si>
  <si>
    <t xml:space="preserve">Услуги погрузчика Амкадр 352 Л </t>
  </si>
  <si>
    <t>Услуги автомобиля ЗИЛ-131</t>
  </si>
  <si>
    <t xml:space="preserve">НА </t>
  </si>
  <si>
    <t>за 1 чел.в сутки</t>
  </si>
  <si>
    <t>Проживание в охотничьем домике  в VIP номере повышенной комфортабельности</t>
  </si>
  <si>
    <t>Аренда жилого комплекса без спальных мест с использованием мест общего пользования (кухня, сан.узел)</t>
  </si>
  <si>
    <t>Катание на моторной лодке</t>
  </si>
  <si>
    <t>Катание на снегоходе</t>
  </si>
  <si>
    <t>Бильярд</t>
  </si>
  <si>
    <t>длина 2.0 - 6.5 м</t>
  </si>
  <si>
    <t>2метра</t>
  </si>
  <si>
    <t>1метр</t>
  </si>
  <si>
    <t>менее 1м</t>
  </si>
  <si>
    <t>Цена за 1 плотный куб. м, бел. руб. без НДС</t>
  </si>
  <si>
    <t>2017 г.</t>
  </si>
  <si>
    <t>Услуги бани (с одним заходом свыше 5 чел)</t>
  </si>
  <si>
    <t>Услуги бани (с одним заходом до 5 чел)</t>
  </si>
  <si>
    <t>1 посещение (2 часа)</t>
  </si>
  <si>
    <t>Сок березовый (на условиях фр-лесосека)</t>
  </si>
  <si>
    <t>Сок березовый (на условиях франко склад продавца)</t>
  </si>
  <si>
    <t>Цена за 1 шт.</t>
  </si>
  <si>
    <t>Дерево новогоднее</t>
  </si>
  <si>
    <t>до 1м</t>
  </si>
  <si>
    <t>1,1-2,0м</t>
  </si>
  <si>
    <t>2,1-3,0м</t>
  </si>
  <si>
    <t>с 01.07.2018г. приказ № 194 от 05.06.2018</t>
  </si>
  <si>
    <t>с 01.07.2018г. приказ № 194 от 05.06.2018г.</t>
  </si>
  <si>
    <t>2. Отпускные цены на Деревья новогодние, поставляемые на условиях франко-склад (лесничества лесхоза)</t>
  </si>
  <si>
    <t>3,1-4,0м</t>
  </si>
  <si>
    <t>4,1-5,0м</t>
  </si>
  <si>
    <t>5,1-10м</t>
  </si>
  <si>
    <t>10,1м и более</t>
  </si>
  <si>
    <t>в)  для выработки пиломатериалов и заготовок для клепки сухотарных бочек и деталей ящиков (тарное бревно)</t>
  </si>
  <si>
    <t>13 и более</t>
  </si>
  <si>
    <t>длина 1.0 - 6.5 м</t>
  </si>
  <si>
    <t>12 и более</t>
  </si>
  <si>
    <t>длина не менее 0.6 м</t>
  </si>
  <si>
    <t>б)  для выработки пиломатериалов и заготовок для клепки сухотарных бочек и деталей ящиков (тарное бревно)</t>
  </si>
  <si>
    <r>
      <t>Весь перечень услуг при снятии охотничье -туристического комплекса с посещением экологической тропы(</t>
    </r>
    <r>
      <rPr>
        <u val="single"/>
        <sz val="12"/>
        <rFont val="Times New Roman"/>
        <family val="1"/>
      </rPr>
      <t>за исключением:</t>
    </r>
    <r>
      <rPr>
        <sz val="12"/>
        <rFont val="Times New Roman"/>
        <family val="1"/>
      </rPr>
      <t xml:space="preserve"> посещения бани, катание на моторной лодке, катание на снегоходе, бильярда)</t>
    </r>
  </si>
  <si>
    <r>
      <t>Весь перечень услуг при снятии охотничье -туристического комплекса с посещением экологической тропы(</t>
    </r>
    <r>
      <rPr>
        <u val="single"/>
        <sz val="12"/>
        <rFont val="Times New Roman"/>
        <family val="1"/>
      </rPr>
      <t>за исключением</t>
    </r>
    <r>
      <rPr>
        <sz val="12"/>
        <rFont val="Times New Roman"/>
        <family val="1"/>
      </rPr>
      <t>: катание на моторной лодке, катание на снегоходе)</t>
    </r>
  </si>
  <si>
    <t xml:space="preserve"> а) Для выработки пиломатериалов и заготовок общего назначения (пиловочное бревно)</t>
  </si>
  <si>
    <t>110</t>
  </si>
  <si>
    <t>111</t>
  </si>
  <si>
    <t>112</t>
  </si>
  <si>
    <t>Прохождение взрослой трассы "Веревочного парка"</t>
  </si>
  <si>
    <t>Прохождение детской трассы "Веревочного парка"</t>
  </si>
  <si>
    <t>на 1 чел/час</t>
  </si>
  <si>
    <t>Пребывание в большой беседке</t>
  </si>
  <si>
    <t xml:space="preserve">с                .2018г. приказ №  от </t>
  </si>
  <si>
    <t>с              .2018г. приказ №   от         .2018г.</t>
  </si>
  <si>
    <t>с             2018г. приказ №     от          2018</t>
  </si>
  <si>
    <t>с            2018г. приказ №  от     2018</t>
  </si>
  <si>
    <t>с     .2018г. приказ №         от      2018</t>
  </si>
  <si>
    <t>с      2018г. приказ №    от       2018</t>
  </si>
  <si>
    <t xml:space="preserve">с        2018г. приказ №         от   </t>
  </si>
  <si>
    <t>с       .2018г. приказ №    от     .2018</t>
  </si>
  <si>
    <t>с    2018г. приказ №      от          2018</t>
  </si>
  <si>
    <t>Пребывание в малой беседке</t>
  </si>
  <si>
    <t>1 чел /1 час</t>
  </si>
  <si>
    <t xml:space="preserve">Приложение к приказу от                                 №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</si>
</sst>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&quot;г.&quot;"/>
    <numFmt numFmtId="173" formatCode="_-* #,##0.0_р_._-;\-* #,##0.0_р_._-;_-* &quot;-&quot;??_р_._-;_-@_-"/>
    <numFmt numFmtId="174" formatCode="_-* #,##0_р_._-;\-* #,##0_р_._-;_-* &quot;-&quot;??_р_._-;_-@_-"/>
    <numFmt numFmtId="175" formatCode="0.0"/>
    <numFmt numFmtId="176" formatCode="#,##0.0"/>
    <numFmt numFmtId="177" formatCode="#,##0.000"/>
    <numFmt numFmtId="178" formatCode="#,##0&quot;р.&quot;"/>
    <numFmt numFmtId="179" formatCode="[$-FC19]d\ mmmm\ yyyy\ &quot;г.&quot;"/>
    <numFmt numFmtId="180" formatCode="#,##0_р_."/>
    <numFmt numFmtId="181" formatCode="#,##0.00&quot;р.&quot;"/>
    <numFmt numFmtId="182" formatCode="_-* #,##0.0_р_._-;\-* #,##0.0_р_._-;_-* &quot;-&quot;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"/>
    <numFmt numFmtId="188" formatCode="0.00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Arial Cyr"/>
      <family val="0"/>
    </font>
    <font>
      <b/>
      <sz val="12"/>
      <color indexed="10"/>
      <name val="Times New Roman"/>
      <family val="1"/>
    </font>
    <font>
      <i/>
      <sz val="8"/>
      <name val="Times New Roman"/>
      <family val="1"/>
    </font>
    <font>
      <sz val="30"/>
      <name val="Arial Cyr"/>
      <family val="0"/>
    </font>
    <font>
      <sz val="11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i/>
      <sz val="10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i/>
      <sz val="10"/>
      <color rgb="FFFF0000"/>
      <name val="Times New Roman"/>
      <family val="1"/>
    </font>
    <font>
      <sz val="12"/>
      <color rgb="FFFF0000"/>
      <name val="Times New Roman"/>
      <family val="1"/>
    </font>
    <font>
      <i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66FF3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" fillId="0" borderId="28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9" fontId="6" fillId="0" borderId="29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1" fillId="0" borderId="31" xfId="0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3" fontId="8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4" fontId="6" fillId="0" borderId="27" xfId="0" applyNumberFormat="1" applyFont="1" applyFill="1" applyBorder="1" applyAlignment="1">
      <alignment horizontal="center" vertical="center" wrapText="1"/>
    </xf>
    <xf numFmtId="4" fontId="8" fillId="0" borderId="27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6" fillId="0" borderId="33" xfId="0" applyNumberFormat="1" applyFont="1" applyFill="1" applyBorder="1" applyAlignment="1">
      <alignment horizontal="center" vertical="center" wrapText="1"/>
    </xf>
    <xf numFmtId="4" fontId="8" fillId="0" borderId="34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0" borderId="0" xfId="0" applyFont="1" applyFill="1" applyAlignment="1">
      <alignment horizontal="right"/>
    </xf>
    <xf numFmtId="4" fontId="8" fillId="0" borderId="35" xfId="0" applyNumberFormat="1" applyFont="1" applyFill="1" applyBorder="1" applyAlignment="1">
      <alignment horizontal="center" vertical="center" wrapText="1"/>
    </xf>
    <xf numFmtId="4" fontId="6" fillId="0" borderId="36" xfId="0" applyNumberFormat="1" applyFont="1" applyFill="1" applyBorder="1" applyAlignment="1">
      <alignment horizontal="center" vertical="center" wrapText="1"/>
    </xf>
    <xf numFmtId="4" fontId="6" fillId="0" borderId="37" xfId="0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6" fillId="0" borderId="33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4" fontId="8" fillId="0" borderId="48" xfId="0" applyNumberFormat="1" applyFont="1" applyFill="1" applyBorder="1" applyAlignment="1">
      <alignment horizontal="center" vertical="center" wrapText="1"/>
    </xf>
    <xf numFmtId="4" fontId="8" fillId="0" borderId="26" xfId="0" applyNumberFormat="1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4" borderId="5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4" fontId="6" fillId="0" borderId="51" xfId="60" applyNumberFormat="1" applyFont="1" applyFill="1" applyBorder="1" applyAlignment="1">
      <alignment horizontal="center" vertical="center" wrapText="1"/>
    </xf>
    <xf numFmtId="4" fontId="8" fillId="0" borderId="35" xfId="60" applyNumberFormat="1" applyFont="1" applyFill="1" applyBorder="1" applyAlignment="1">
      <alignment horizontal="center" vertical="center" wrapText="1"/>
    </xf>
    <xf numFmtId="4" fontId="6" fillId="0" borderId="36" xfId="60" applyNumberFormat="1" applyFont="1" applyFill="1" applyBorder="1" applyAlignment="1">
      <alignment horizontal="center" vertical="center" wrapText="1"/>
    </xf>
    <xf numFmtId="4" fontId="6" fillId="0" borderId="37" xfId="60" applyNumberFormat="1" applyFont="1" applyFill="1" applyBorder="1" applyAlignment="1">
      <alignment horizontal="center" vertical="center" wrapText="1"/>
    </xf>
    <xf numFmtId="4" fontId="6" fillId="0" borderId="52" xfId="60" applyNumberFormat="1" applyFont="1" applyFill="1" applyBorder="1" applyAlignment="1">
      <alignment horizontal="center" vertical="center" wrapText="1"/>
    </xf>
    <xf numFmtId="4" fontId="6" fillId="0" borderId="53" xfId="0" applyNumberFormat="1" applyFont="1" applyFill="1" applyBorder="1" applyAlignment="1">
      <alignment horizontal="center" vertical="center" wrapText="1"/>
    </xf>
    <xf numFmtId="4" fontId="6" fillId="0" borderId="51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/>
    </xf>
    <xf numFmtId="0" fontId="6" fillId="0" borderId="55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4" fontId="8" fillId="0" borderId="41" xfId="0" applyNumberFormat="1" applyFont="1" applyFill="1" applyBorder="1" applyAlignment="1">
      <alignment horizontal="center" vertical="center" wrapText="1"/>
    </xf>
    <xf numFmtId="4" fontId="6" fillId="0" borderId="42" xfId="0" applyNumberFormat="1" applyFont="1" applyFill="1" applyBorder="1" applyAlignment="1">
      <alignment horizontal="center" vertical="center" wrapText="1"/>
    </xf>
    <xf numFmtId="4" fontId="6" fillId="0" borderId="43" xfId="0" applyNumberFormat="1" applyFont="1" applyFill="1" applyBorder="1" applyAlignment="1">
      <alignment horizontal="center" vertical="center" wrapText="1"/>
    </xf>
    <xf numFmtId="4" fontId="6" fillId="0" borderId="56" xfId="0" applyNumberFormat="1" applyFont="1" applyFill="1" applyBorder="1" applyAlignment="1">
      <alignment horizontal="center" vertical="center" wrapText="1"/>
    </xf>
    <xf numFmtId="4" fontId="6" fillId="0" borderId="58" xfId="0" applyNumberFormat="1" applyFont="1" applyFill="1" applyBorder="1" applyAlignment="1">
      <alignment horizontal="center" vertical="center" wrapText="1"/>
    </xf>
    <xf numFmtId="4" fontId="6" fillId="0" borderId="57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6" fillId="0" borderId="6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4" fontId="6" fillId="0" borderId="56" xfId="60" applyNumberFormat="1" applyFont="1" applyFill="1" applyBorder="1" applyAlignment="1">
      <alignment horizontal="center" vertical="center" wrapText="1"/>
    </xf>
    <xf numFmtId="4" fontId="8" fillId="0" borderId="58" xfId="60" applyNumberFormat="1" applyFont="1" applyFill="1" applyBorder="1" applyAlignment="1">
      <alignment horizontal="center" vertical="center" wrapText="1"/>
    </xf>
    <xf numFmtId="4" fontId="6" fillId="0" borderId="57" xfId="60" applyNumberFormat="1" applyFont="1" applyFill="1" applyBorder="1" applyAlignment="1">
      <alignment horizontal="center" vertical="center" wrapText="1"/>
    </xf>
    <xf numFmtId="4" fontId="6" fillId="0" borderId="61" xfId="60" applyNumberFormat="1" applyFont="1" applyFill="1" applyBorder="1" applyAlignment="1">
      <alignment horizontal="center" vertical="center" wrapText="1"/>
    </xf>
    <xf numFmtId="4" fontId="6" fillId="0" borderId="62" xfId="60" applyNumberFormat="1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49" fontId="6" fillId="0" borderId="56" xfId="0" applyNumberFormat="1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>
      <alignment horizontal="center" vertical="center" wrapText="1"/>
    </xf>
    <xf numFmtId="4" fontId="6" fillId="0" borderId="47" xfId="0" applyNumberFormat="1" applyFont="1" applyFill="1" applyBorder="1" applyAlignment="1">
      <alignment horizontal="center" vertical="center" wrapText="1"/>
    </xf>
    <xf numFmtId="4" fontId="8" fillId="0" borderId="45" xfId="0" applyNumberFormat="1" applyFont="1" applyFill="1" applyBorder="1" applyAlignment="1">
      <alignment horizontal="center" vertical="center" wrapText="1"/>
    </xf>
    <xf numFmtId="4" fontId="6" fillId="0" borderId="46" xfId="0" applyNumberFormat="1" applyFont="1" applyFill="1" applyBorder="1" applyAlignment="1">
      <alignment horizontal="center" vertical="center" wrapText="1"/>
    </xf>
    <xf numFmtId="4" fontId="8" fillId="0" borderId="58" xfId="0" applyNumberFormat="1" applyFont="1" applyFill="1" applyBorder="1" applyAlignment="1">
      <alignment horizontal="center" vertical="center" wrapText="1"/>
    </xf>
    <xf numFmtId="4" fontId="8" fillId="0" borderId="64" xfId="0" applyNumberFormat="1" applyFont="1" applyFill="1" applyBorder="1" applyAlignment="1">
      <alignment horizontal="center" vertical="center" wrapText="1"/>
    </xf>
    <xf numFmtId="4" fontId="6" fillId="0" borderId="65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 vertical="center" wrapText="1"/>
    </xf>
    <xf numFmtId="4" fontId="8" fillId="0" borderId="46" xfId="0" applyNumberFormat="1" applyFont="1" applyFill="1" applyBorder="1" applyAlignment="1">
      <alignment horizontal="center" vertical="center" wrapText="1"/>
    </xf>
    <xf numFmtId="4" fontId="8" fillId="0" borderId="57" xfId="0" applyNumberFormat="1" applyFont="1" applyFill="1" applyBorder="1" applyAlignment="1">
      <alignment horizontal="center" vertical="center" wrapText="1"/>
    </xf>
    <xf numFmtId="4" fontId="6" fillId="0" borderId="44" xfId="0" applyNumberFormat="1" applyFont="1" applyFill="1" applyBorder="1" applyAlignment="1">
      <alignment horizontal="center" vertical="center" wrapText="1"/>
    </xf>
    <xf numFmtId="4" fontId="6" fillId="0" borderId="61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4" fontId="8" fillId="0" borderId="56" xfId="0" applyNumberFormat="1" applyFont="1" applyFill="1" applyBorder="1" applyAlignment="1">
      <alignment horizontal="center" vertical="center" wrapText="1"/>
    </xf>
    <xf numFmtId="4" fontId="6" fillId="0" borderId="67" xfId="0" applyNumberFormat="1" applyFont="1" applyFill="1" applyBorder="1" applyAlignment="1">
      <alignment horizontal="center" vertical="center" wrapText="1"/>
    </xf>
    <xf numFmtId="4" fontId="6" fillId="0" borderId="68" xfId="0" applyNumberFormat="1" applyFont="1" applyFill="1" applyBorder="1" applyAlignment="1">
      <alignment horizontal="center" vertical="center" wrapText="1"/>
    </xf>
    <xf numFmtId="4" fontId="6" fillId="0" borderId="40" xfId="0" applyNumberFormat="1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" fontId="8" fillId="0" borderId="66" xfId="0" applyNumberFormat="1" applyFont="1" applyFill="1" applyBorder="1" applyAlignment="1">
      <alignment horizontal="center" vertical="center" wrapText="1"/>
    </xf>
    <xf numFmtId="4" fontId="8" fillId="0" borderId="59" xfId="0" applyNumberFormat="1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wrapText="1"/>
    </xf>
    <xf numFmtId="0" fontId="10" fillId="35" borderId="25" xfId="0" applyFont="1" applyFill="1" applyBorder="1" applyAlignment="1">
      <alignment horizontal="center" wrapText="1"/>
    </xf>
    <xf numFmtId="0" fontId="10" fillId="35" borderId="70" xfId="0" applyFont="1" applyFill="1" applyBorder="1" applyAlignment="1">
      <alignment horizontal="center" wrapText="1"/>
    </xf>
    <xf numFmtId="49" fontId="6" fillId="0" borderId="12" xfId="0" applyNumberFormat="1" applyFont="1" applyBorder="1" applyAlignment="1">
      <alignment vertical="center" wrapText="1"/>
    </xf>
    <xf numFmtId="3" fontId="8" fillId="0" borderId="34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49" fontId="11" fillId="0" borderId="38" xfId="0" applyNumberFormat="1" applyFont="1" applyBorder="1" applyAlignment="1">
      <alignment horizontal="center" vertical="center" wrapText="1"/>
    </xf>
    <xf numFmtId="49" fontId="6" fillId="0" borderId="71" xfId="0" applyNumberFormat="1" applyFont="1" applyBorder="1" applyAlignment="1">
      <alignment vertical="center" wrapText="1"/>
    </xf>
    <xf numFmtId="49" fontId="6" fillId="0" borderId="50" xfId="0" applyNumberFormat="1" applyFont="1" applyBorder="1" applyAlignment="1">
      <alignment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" fontId="8" fillId="0" borderId="71" xfId="0" applyNumberFormat="1" applyFont="1" applyBorder="1" applyAlignment="1">
      <alignment horizontal="center" vertical="center" wrapText="1"/>
    </xf>
    <xf numFmtId="4" fontId="8" fillId="0" borderId="50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11" fillId="0" borderId="54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4" fontId="6" fillId="0" borderId="58" xfId="0" applyNumberFormat="1" applyFont="1" applyBorder="1" applyAlignment="1">
      <alignment horizontal="center" vertical="center" wrapText="1"/>
    </xf>
    <xf numFmtId="4" fontId="6" fillId="0" borderId="57" xfId="0" applyNumberFormat="1" applyFont="1" applyBorder="1" applyAlignment="1">
      <alignment horizontal="center" vertical="center" wrapText="1"/>
    </xf>
    <xf numFmtId="4" fontId="6" fillId="0" borderId="71" xfId="0" applyNumberFormat="1" applyFont="1" applyBorder="1" applyAlignment="1">
      <alignment horizontal="center" vertical="center" wrapText="1"/>
    </xf>
    <xf numFmtId="49" fontId="6" fillId="0" borderId="66" xfId="0" applyNumberFormat="1" applyFont="1" applyBorder="1" applyAlignment="1">
      <alignment vertical="center" wrapText="1"/>
    </xf>
    <xf numFmtId="4" fontId="6" fillId="0" borderId="66" xfId="0" applyNumberFormat="1" applyFont="1" applyBorder="1" applyAlignment="1">
      <alignment horizontal="center" vertical="center" wrapText="1"/>
    </xf>
    <xf numFmtId="4" fontId="6" fillId="0" borderId="50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vertical="center" wrapText="1"/>
    </xf>
    <xf numFmtId="49" fontId="6" fillId="0" borderId="58" xfId="0" applyNumberFormat="1" applyFont="1" applyFill="1" applyBorder="1" applyAlignment="1">
      <alignment vertical="center" wrapText="1"/>
    </xf>
    <xf numFmtId="49" fontId="6" fillId="0" borderId="72" xfId="0" applyNumberFormat="1" applyFont="1" applyFill="1" applyBorder="1" applyAlignment="1">
      <alignment vertical="center" wrapText="1"/>
    </xf>
    <xf numFmtId="49" fontId="6" fillId="0" borderId="57" xfId="0" applyNumberFormat="1" applyFont="1" applyFill="1" applyBorder="1" applyAlignment="1">
      <alignment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" fontId="6" fillId="0" borderId="72" xfId="0" applyNumberFormat="1" applyFont="1" applyFill="1" applyBorder="1" applyAlignment="1">
      <alignment horizontal="center" vertical="center" wrapText="1"/>
    </xf>
    <xf numFmtId="4" fontId="6" fillId="0" borderId="50" xfId="0" applyNumberFormat="1" applyFont="1" applyFill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6" fillId="35" borderId="47" xfId="0" applyFont="1" applyFill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center" vertical="center" wrapText="1"/>
    </xf>
    <xf numFmtId="0" fontId="6" fillId="35" borderId="46" xfId="0" applyFont="1" applyFill="1" applyBorder="1" applyAlignment="1">
      <alignment horizontal="center" vertical="center" wrapText="1"/>
    </xf>
    <xf numFmtId="4" fontId="6" fillId="35" borderId="56" xfId="0" applyNumberFormat="1" applyFont="1" applyFill="1" applyBorder="1" applyAlignment="1">
      <alignment horizontal="center" vertical="center" wrapText="1"/>
    </xf>
    <xf numFmtId="4" fontId="6" fillId="35" borderId="58" xfId="0" applyNumberFormat="1" applyFont="1" applyFill="1" applyBorder="1" applyAlignment="1">
      <alignment horizontal="center" vertical="center" wrapText="1"/>
    </xf>
    <xf numFmtId="4" fontId="6" fillId="35" borderId="57" xfId="0" applyNumberFormat="1" applyFont="1" applyFill="1" applyBorder="1" applyAlignment="1">
      <alignment horizontal="center" vertical="center" wrapText="1"/>
    </xf>
    <xf numFmtId="4" fontId="6" fillId="0" borderId="61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2" fontId="0" fillId="0" borderId="57" xfId="0" applyNumberFormat="1" applyBorder="1" applyAlignment="1">
      <alignment horizontal="center" vertical="center"/>
    </xf>
    <xf numFmtId="2" fontId="0" fillId="0" borderId="56" xfId="0" applyNumberFormat="1" applyBorder="1" applyAlignment="1">
      <alignment horizontal="center" vertical="center"/>
    </xf>
    <xf numFmtId="0" fontId="6" fillId="0" borderId="71" xfId="0" applyFont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2" fontId="0" fillId="36" borderId="0" xfId="0" applyNumberFormat="1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188" fontId="0" fillId="0" borderId="0" xfId="0" applyNumberFormat="1" applyAlignment="1">
      <alignment/>
    </xf>
    <xf numFmtId="0" fontId="0" fillId="36" borderId="0" xfId="0" applyFill="1" applyAlignment="1">
      <alignment/>
    </xf>
    <xf numFmtId="2" fontId="6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>
      <alignment/>
    </xf>
    <xf numFmtId="0" fontId="5" fillId="4" borderId="31" xfId="0" applyFont="1" applyFill="1" applyBorder="1" applyAlignment="1">
      <alignment horizontal="center" vertical="center" wrapText="1"/>
    </xf>
    <xf numFmtId="4" fontId="6" fillId="7" borderId="67" xfId="0" applyNumberFormat="1" applyFont="1" applyFill="1" applyBorder="1" applyAlignment="1">
      <alignment horizontal="center" vertical="center" wrapText="1"/>
    </xf>
    <xf numFmtId="4" fontId="8" fillId="7" borderId="64" xfId="0" applyNumberFormat="1" applyFont="1" applyFill="1" applyBorder="1" applyAlignment="1">
      <alignment horizontal="center" vertical="center" wrapText="1"/>
    </xf>
    <xf numFmtId="4" fontId="6" fillId="7" borderId="64" xfId="0" applyNumberFormat="1" applyFont="1" applyFill="1" applyBorder="1" applyAlignment="1">
      <alignment horizontal="center" vertical="center" wrapText="1"/>
    </xf>
    <xf numFmtId="4" fontId="6" fillId="7" borderId="65" xfId="0" applyNumberFormat="1" applyFont="1" applyFill="1" applyBorder="1" applyAlignment="1">
      <alignment horizontal="center" vertical="center" wrapText="1"/>
    </xf>
    <xf numFmtId="4" fontId="6" fillId="7" borderId="53" xfId="0" applyNumberFormat="1" applyFont="1" applyFill="1" applyBorder="1" applyAlignment="1">
      <alignment horizontal="center" vertical="center" wrapText="1"/>
    </xf>
    <xf numFmtId="4" fontId="6" fillId="7" borderId="33" xfId="0" applyNumberFormat="1" applyFont="1" applyFill="1" applyBorder="1" applyAlignment="1">
      <alignment horizontal="center" vertical="center" wrapText="1"/>
    </xf>
    <xf numFmtId="4" fontId="8" fillId="7" borderId="27" xfId="0" applyNumberFormat="1" applyFont="1" applyFill="1" applyBorder="1" applyAlignment="1">
      <alignment horizontal="center" vertical="center" wrapText="1"/>
    </xf>
    <xf numFmtId="4" fontId="6" fillId="7" borderId="27" xfId="0" applyNumberFormat="1" applyFont="1" applyFill="1" applyBorder="1" applyAlignment="1">
      <alignment horizontal="center" vertical="center" wrapText="1"/>
    </xf>
    <xf numFmtId="4" fontId="6" fillId="7" borderId="13" xfId="0" applyNumberFormat="1" applyFont="1" applyFill="1" applyBorder="1" applyAlignment="1">
      <alignment horizontal="center" vertical="center" wrapText="1"/>
    </xf>
    <xf numFmtId="4" fontId="6" fillId="7" borderId="26" xfId="0" applyNumberFormat="1" applyFont="1" applyFill="1" applyBorder="1" applyAlignment="1">
      <alignment horizontal="center" vertical="center" wrapText="1"/>
    </xf>
    <xf numFmtId="0" fontId="17" fillId="7" borderId="59" xfId="0" applyFont="1" applyFill="1" applyBorder="1" applyAlignment="1">
      <alignment horizontal="center" vertical="center"/>
    </xf>
    <xf numFmtId="0" fontId="17" fillId="7" borderId="66" xfId="0" applyFont="1" applyFill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vertical="center" wrapText="1"/>
    </xf>
    <xf numFmtId="4" fontId="8" fillId="0" borderId="60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49" fontId="11" fillId="0" borderId="40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41" xfId="0" applyNumberFormat="1" applyFont="1" applyBorder="1" applyAlignment="1">
      <alignment horizontal="center" vertical="center" wrapText="1"/>
    </xf>
    <xf numFmtId="49" fontId="11" fillId="0" borderId="4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1" fillId="0" borderId="5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/>
    </xf>
    <xf numFmtId="2" fontId="6" fillId="0" borderId="57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0" borderId="49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" fontId="8" fillId="0" borderId="54" xfId="0" applyNumberFormat="1" applyFont="1" applyFill="1" applyBorder="1" applyAlignment="1">
      <alignment horizontal="center" vertical="center" wrapText="1"/>
    </xf>
    <xf numFmtId="49" fontId="6" fillId="0" borderId="62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11" fillId="0" borderId="62" xfId="0" applyFont="1" applyFill="1" applyBorder="1" applyAlignment="1">
      <alignment horizontal="center" vertical="center" wrapText="1"/>
    </xf>
    <xf numFmtId="4" fontId="6" fillId="0" borderId="62" xfId="0" applyNumberFormat="1" applyFont="1" applyFill="1" applyBorder="1" applyAlignment="1">
      <alignment horizontal="center" vertical="center" wrapText="1"/>
    </xf>
    <xf numFmtId="49" fontId="60" fillId="0" borderId="58" xfId="0" applyNumberFormat="1" applyFont="1" applyFill="1" applyBorder="1" applyAlignment="1">
      <alignment horizontal="center" vertical="center" wrapText="1"/>
    </xf>
    <xf numFmtId="3" fontId="6" fillId="0" borderId="56" xfId="0" applyNumberFormat="1" applyFont="1" applyFill="1" applyBorder="1" applyAlignment="1">
      <alignment horizontal="center" vertical="center" wrapText="1"/>
    </xf>
    <xf numFmtId="3" fontId="6" fillId="0" borderId="61" xfId="0" applyNumberFormat="1" applyFont="1" applyFill="1" applyBorder="1" applyAlignment="1">
      <alignment horizontal="center" vertical="center" wrapText="1"/>
    </xf>
    <xf numFmtId="3" fontId="6" fillId="0" borderId="58" xfId="0" applyNumberFormat="1" applyFont="1" applyFill="1" applyBorder="1" applyAlignment="1">
      <alignment horizontal="center" vertical="center" wrapText="1"/>
    </xf>
    <xf numFmtId="3" fontId="6" fillId="0" borderId="62" xfId="0" applyNumberFormat="1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0" fillId="0" borderId="50" xfId="0" applyBorder="1" applyAlignment="1">
      <alignment/>
    </xf>
    <xf numFmtId="2" fontId="0" fillId="0" borderId="50" xfId="0" applyNumberFormat="1" applyBorder="1" applyAlignment="1">
      <alignment/>
    </xf>
    <xf numFmtId="49" fontId="11" fillId="0" borderId="43" xfId="0" applyNumberFormat="1" applyFont="1" applyBorder="1" applyAlignment="1">
      <alignment horizontal="center" vertical="center" wrapText="1"/>
    </xf>
    <xf numFmtId="4" fontId="6" fillId="0" borderId="71" xfId="0" applyNumberFormat="1" applyFont="1" applyFill="1" applyBorder="1" applyAlignment="1">
      <alignment horizontal="center" vertical="center" wrapText="1"/>
    </xf>
    <xf numFmtId="0" fontId="61" fillId="4" borderId="31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6" fillId="0" borderId="61" xfId="0" applyNumberFormat="1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49" fontId="6" fillId="0" borderId="56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6" fillId="0" borderId="6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wrapText="1"/>
    </xf>
    <xf numFmtId="0" fontId="6" fillId="0" borderId="2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6" fillId="0" borderId="43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6" fillId="38" borderId="0" xfId="0" applyFont="1" applyFill="1" applyAlignment="1">
      <alignment horizontal="center"/>
    </xf>
    <xf numFmtId="0" fontId="6" fillId="0" borderId="74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49" xfId="0" applyBorder="1" applyAlignment="1">
      <alignment horizontal="center"/>
    </xf>
    <xf numFmtId="0" fontId="6" fillId="0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57" xfId="0" applyBorder="1" applyAlignment="1">
      <alignment/>
    </xf>
    <xf numFmtId="49" fontId="6" fillId="0" borderId="72" xfId="0" applyNumberFormat="1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47" xfId="0" applyBorder="1" applyAlignment="1">
      <alignment horizontal="center"/>
    </xf>
    <xf numFmtId="0" fontId="0" fillId="0" borderId="53" xfId="0" applyBorder="1" applyAlignment="1">
      <alignment horizontal="center"/>
    </xf>
    <xf numFmtId="0" fontId="6" fillId="0" borderId="65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/>
    </xf>
    <xf numFmtId="0" fontId="6" fillId="0" borderId="72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55" xfId="0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37" borderId="54" xfId="0" applyFont="1" applyFill="1" applyBorder="1" applyAlignment="1">
      <alignment horizontal="center" wrapText="1"/>
    </xf>
    <xf numFmtId="0" fontId="10" fillId="37" borderId="55" xfId="0" applyFont="1" applyFill="1" applyBorder="1" applyAlignment="1">
      <alignment horizontal="center" wrapText="1"/>
    </xf>
    <xf numFmtId="0" fontId="10" fillId="37" borderId="59" xfId="0" applyFont="1" applyFill="1" applyBorder="1" applyAlignment="1">
      <alignment horizontal="center" wrapText="1"/>
    </xf>
    <xf numFmtId="0" fontId="10" fillId="0" borderId="43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54" xfId="0" applyBorder="1" applyAlignment="1">
      <alignment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55" xfId="0" applyFont="1" applyBorder="1" applyAlignment="1">
      <alignment/>
    </xf>
    <xf numFmtId="0" fontId="9" fillId="38" borderId="0" xfId="0" applyFont="1" applyFill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6" fillId="35" borderId="71" xfId="0" applyNumberFormat="1" applyFont="1" applyFill="1" applyBorder="1" applyAlignment="1">
      <alignment horizontal="center" vertical="center" wrapText="1"/>
    </xf>
    <xf numFmtId="2" fontId="6" fillId="35" borderId="72" xfId="0" applyNumberFormat="1" applyFont="1" applyFill="1" applyBorder="1" applyAlignment="1">
      <alignment horizontal="center" vertical="center" wrapText="1"/>
    </xf>
    <xf numFmtId="2" fontId="6" fillId="35" borderId="66" xfId="0" applyNumberFormat="1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11" fillId="35" borderId="54" xfId="0" applyFont="1" applyFill="1" applyBorder="1" applyAlignment="1">
      <alignment horizontal="center" vertical="center" wrapText="1"/>
    </xf>
    <xf numFmtId="2" fontId="40" fillId="0" borderId="56" xfId="0" applyNumberFormat="1" applyFont="1" applyBorder="1" applyAlignment="1">
      <alignment horizontal="center" vertical="center"/>
    </xf>
    <xf numFmtId="2" fontId="40" fillId="0" borderId="58" xfId="0" applyNumberFormat="1" applyFont="1" applyBorder="1" applyAlignment="1">
      <alignment horizontal="center" vertical="center"/>
    </xf>
    <xf numFmtId="2" fontId="40" fillId="0" borderId="57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view="pageBreakPreview" zoomScaleSheetLayoutView="100" zoomScalePageLayoutView="0" workbookViewId="0" topLeftCell="A263">
      <selection activeCell="A220" sqref="A220:H276"/>
    </sheetView>
  </sheetViews>
  <sheetFormatPr defaultColWidth="9.00390625" defaultRowHeight="12.75"/>
  <cols>
    <col min="1" max="1" width="8.75390625" style="0" customWidth="1"/>
    <col min="2" max="2" width="15.00390625" style="0" customWidth="1"/>
    <col min="3" max="3" width="16.75390625" style="0" customWidth="1"/>
    <col min="4" max="4" width="27.125" style="0" customWidth="1"/>
    <col min="5" max="5" width="24.875" style="0" customWidth="1"/>
    <col min="6" max="6" width="25.75390625" style="0" customWidth="1"/>
    <col min="7" max="7" width="25.25390625" style="0" customWidth="1"/>
    <col min="8" max="8" width="24.875" style="0" customWidth="1"/>
  </cols>
  <sheetData>
    <row r="1" spans="1:8" ht="15" customHeight="1">
      <c r="A1" s="4"/>
      <c r="B1" s="4"/>
      <c r="C1" s="4"/>
      <c r="D1" s="4"/>
      <c r="E1" s="280" t="s">
        <v>285</v>
      </c>
      <c r="F1" s="5"/>
      <c r="G1" s="5"/>
      <c r="H1" s="4"/>
    </row>
    <row r="2" spans="1:8" ht="15.75">
      <c r="A2" s="17"/>
      <c r="B2" s="17"/>
      <c r="C2" s="17"/>
      <c r="D2" s="17"/>
      <c r="E2" s="75"/>
      <c r="F2" s="65"/>
      <c r="G2" s="65"/>
      <c r="H2" s="17"/>
    </row>
    <row r="3" spans="1:8" ht="15.75" customHeight="1" hidden="1">
      <c r="A3" s="17"/>
      <c r="B3" s="17"/>
      <c r="C3" s="17"/>
      <c r="D3" s="17"/>
      <c r="E3" s="65"/>
      <c r="F3" s="65"/>
      <c r="G3" s="65"/>
      <c r="H3" s="17"/>
    </row>
    <row r="4" spans="1:8" ht="15.75" customHeight="1" hidden="1">
      <c r="A4" s="17"/>
      <c r="B4" s="17"/>
      <c r="C4" s="17"/>
      <c r="D4" s="17"/>
      <c r="E4" s="65"/>
      <c r="F4" s="65"/>
      <c r="G4" s="65"/>
      <c r="H4" s="17"/>
    </row>
    <row r="5" spans="1:8" ht="15.75" customHeight="1" hidden="1">
      <c r="A5" s="17"/>
      <c r="B5" s="17"/>
      <c r="C5" s="17"/>
      <c r="D5" s="17"/>
      <c r="E5" s="65"/>
      <c r="F5" s="65"/>
      <c r="G5" s="65"/>
      <c r="H5" s="17"/>
    </row>
    <row r="6" spans="1:8" ht="12.75">
      <c r="A6" s="17"/>
      <c r="B6" s="17"/>
      <c r="C6" s="17"/>
      <c r="D6" s="17"/>
      <c r="E6" s="65"/>
      <c r="F6" s="65"/>
      <c r="G6" s="65"/>
      <c r="H6" s="17"/>
    </row>
    <row r="7" spans="1:8" ht="18.75">
      <c r="A7" s="402" t="s">
        <v>225</v>
      </c>
      <c r="B7" s="402"/>
      <c r="C7" s="402"/>
      <c r="D7" s="402"/>
      <c r="E7" s="402"/>
      <c r="F7" s="402"/>
      <c r="G7" s="32"/>
      <c r="H7" s="17"/>
    </row>
    <row r="8" spans="1:8" ht="15.75">
      <c r="A8" s="403" t="s">
        <v>111</v>
      </c>
      <c r="B8" s="403"/>
      <c r="C8" s="403"/>
      <c r="D8" s="403"/>
      <c r="E8" s="403"/>
      <c r="F8" s="403"/>
      <c r="G8" s="33"/>
      <c r="H8" s="17"/>
    </row>
    <row r="9" spans="1:8" ht="15.75">
      <c r="A9" s="404" t="s">
        <v>112</v>
      </c>
      <c r="B9" s="404"/>
      <c r="C9" s="404"/>
      <c r="D9" s="404"/>
      <c r="E9" s="404"/>
      <c r="F9" s="404"/>
      <c r="G9" s="33"/>
      <c r="H9" s="17"/>
    </row>
    <row r="10" spans="1:8" ht="35.25" customHeight="1">
      <c r="A10" s="401" t="s">
        <v>38</v>
      </c>
      <c r="B10" s="401"/>
      <c r="C10" s="401"/>
      <c r="D10" s="401"/>
      <c r="E10" s="401"/>
      <c r="F10" s="401"/>
      <c r="G10" s="34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13" ht="15.75">
      <c r="A12" s="339" t="s">
        <v>205</v>
      </c>
      <c r="B12" s="339"/>
      <c r="C12" s="339"/>
      <c r="D12" s="339"/>
      <c r="E12" s="339"/>
      <c r="F12" s="339"/>
      <c r="G12" s="35"/>
      <c r="H12" s="17"/>
      <c r="K12" s="28"/>
      <c r="L12" s="28"/>
      <c r="M12" s="28"/>
    </row>
    <row r="13" spans="1:13" ht="15.75">
      <c r="A13" s="405" t="s">
        <v>206</v>
      </c>
      <c r="B13" s="405"/>
      <c r="C13" s="405"/>
      <c r="D13" s="405"/>
      <c r="E13" s="405"/>
      <c r="F13" s="405"/>
      <c r="G13" s="35"/>
      <c r="H13" s="17"/>
      <c r="K13" s="28"/>
      <c r="L13" s="28"/>
      <c r="M13" s="28"/>
    </row>
    <row r="14" spans="1:13" ht="15.75">
      <c r="A14" s="339" t="s">
        <v>110</v>
      </c>
      <c r="B14" s="339"/>
      <c r="C14" s="339"/>
      <c r="D14" s="339"/>
      <c r="E14" s="339"/>
      <c r="F14" s="339"/>
      <c r="G14" s="35"/>
      <c r="H14" s="17"/>
      <c r="K14" s="28"/>
      <c r="L14" s="28"/>
      <c r="M14" s="28"/>
    </row>
    <row r="15" spans="1:13" ht="15.75">
      <c r="A15" s="339" t="s">
        <v>93</v>
      </c>
      <c r="B15" s="339"/>
      <c r="C15" s="339"/>
      <c r="D15" s="339"/>
      <c r="E15" s="339"/>
      <c r="F15" s="339"/>
      <c r="G15" s="35"/>
      <c r="H15" s="17"/>
      <c r="K15" s="28"/>
      <c r="L15" s="28"/>
      <c r="M15" s="28"/>
    </row>
    <row r="16" spans="1:13" ht="12.75">
      <c r="A16" s="17"/>
      <c r="B16" s="17"/>
      <c r="C16" s="17"/>
      <c r="D16" s="17"/>
      <c r="E16" s="17"/>
      <c r="F16" s="17"/>
      <c r="G16" s="17"/>
      <c r="H16" s="17"/>
      <c r="K16" s="28"/>
      <c r="L16" s="28"/>
      <c r="M16" s="28"/>
    </row>
    <row r="17" spans="1:13" ht="15.75">
      <c r="A17" s="358" t="s">
        <v>30</v>
      </c>
      <c r="B17" s="358"/>
      <c r="C17" s="358"/>
      <c r="D17" s="358"/>
      <c r="E17" s="358"/>
      <c r="F17" s="358"/>
      <c r="G17" s="36"/>
      <c r="H17" s="17"/>
      <c r="K17" s="28"/>
      <c r="L17" s="28"/>
      <c r="M17" s="28"/>
    </row>
    <row r="18" spans="1:13" ht="16.5" thickBot="1">
      <c r="A18" s="341" t="s">
        <v>0</v>
      </c>
      <c r="B18" s="341"/>
      <c r="C18" s="341"/>
      <c r="D18" s="341"/>
      <c r="E18" s="341"/>
      <c r="F18" s="341"/>
      <c r="G18" s="37"/>
      <c r="H18" s="17"/>
      <c r="K18" s="28"/>
      <c r="L18" s="28"/>
      <c r="M18" s="28"/>
    </row>
    <row r="19" spans="1:13" ht="21.75" customHeight="1" thickBot="1">
      <c r="A19" s="353" t="s">
        <v>3</v>
      </c>
      <c r="B19" s="342" t="s">
        <v>4</v>
      </c>
      <c r="C19" s="342" t="s">
        <v>5</v>
      </c>
      <c r="D19" s="323" t="s">
        <v>6</v>
      </c>
      <c r="E19" s="323"/>
      <c r="F19" s="324"/>
      <c r="G19" s="17"/>
      <c r="H19" s="17"/>
      <c r="K19" s="28"/>
      <c r="L19" s="28"/>
      <c r="M19" s="28"/>
    </row>
    <row r="20" spans="1:13" ht="33.75" customHeight="1" thickBot="1">
      <c r="A20" s="354"/>
      <c r="B20" s="350"/>
      <c r="C20" s="350"/>
      <c r="D20" s="107" t="s">
        <v>102</v>
      </c>
      <c r="E20" s="107" t="s">
        <v>103</v>
      </c>
      <c r="F20" s="124" t="s">
        <v>104</v>
      </c>
      <c r="G20" s="17"/>
      <c r="H20" s="17"/>
      <c r="K20" s="28"/>
      <c r="L20" s="28"/>
      <c r="M20" s="28"/>
    </row>
    <row r="21" spans="1:13" ht="15.75">
      <c r="A21" s="311" t="s">
        <v>31</v>
      </c>
      <c r="B21" s="312"/>
      <c r="C21" s="312"/>
      <c r="D21" s="312"/>
      <c r="E21" s="312"/>
      <c r="F21" s="313"/>
      <c r="G21" s="38"/>
      <c r="H21" s="17"/>
      <c r="K21" s="28"/>
      <c r="L21" s="28"/>
      <c r="M21" s="28"/>
    </row>
    <row r="22" spans="1:13" ht="15.75">
      <c r="A22" s="39" t="s">
        <v>29</v>
      </c>
      <c r="B22" s="37"/>
      <c r="C22" s="37"/>
      <c r="D22" s="37"/>
      <c r="E22" s="37"/>
      <c r="F22" s="40"/>
      <c r="G22" s="37"/>
      <c r="H22" s="17"/>
      <c r="K22" s="28"/>
      <c r="L22" s="28"/>
      <c r="M22" s="28"/>
    </row>
    <row r="23" spans="1:13" ht="13.5">
      <c r="A23" s="300" t="s">
        <v>1</v>
      </c>
      <c r="B23" s="301"/>
      <c r="C23" s="301"/>
      <c r="D23" s="301"/>
      <c r="E23" s="301"/>
      <c r="F23" s="302"/>
      <c r="G23" s="17"/>
      <c r="H23" s="17"/>
      <c r="K23" s="28"/>
      <c r="L23" s="28"/>
      <c r="M23" s="28"/>
    </row>
    <row r="24" spans="1:13" ht="16.5" thickBot="1">
      <c r="A24" s="375" t="s">
        <v>235</v>
      </c>
      <c r="B24" s="399"/>
      <c r="C24" s="399"/>
      <c r="D24" s="399"/>
      <c r="E24" s="399"/>
      <c r="F24" s="400"/>
      <c r="G24" s="17"/>
      <c r="H24" s="17"/>
      <c r="K24" s="28"/>
      <c r="L24" s="28"/>
      <c r="M24" s="28"/>
    </row>
    <row r="25" spans="1:13" ht="30" customHeight="1" hidden="1" thickBot="1">
      <c r="A25" s="109"/>
      <c r="B25" s="42"/>
      <c r="C25" s="42"/>
      <c r="D25" s="229" t="s">
        <v>274</v>
      </c>
      <c r="E25" s="229" t="s">
        <v>275</v>
      </c>
      <c r="F25" s="95" t="s">
        <v>276</v>
      </c>
      <c r="G25" s="17"/>
      <c r="H25" s="17"/>
      <c r="K25" s="28"/>
      <c r="L25" s="28"/>
      <c r="M25" s="28"/>
    </row>
    <row r="26" spans="1:13" ht="15" customHeight="1">
      <c r="A26" s="85">
        <v>1</v>
      </c>
      <c r="B26" s="310" t="s">
        <v>7</v>
      </c>
      <c r="C26" s="112">
        <v>1</v>
      </c>
      <c r="D26" s="125">
        <f>D27*1.2+0.04</f>
        <v>24.7</v>
      </c>
      <c r="E26" s="97">
        <f>E27*1.2-0.03</f>
        <v>38.604</v>
      </c>
      <c r="F26" s="125">
        <f>F27*1.2+0.01</f>
        <v>48.004000000000005</v>
      </c>
      <c r="G26" s="17"/>
      <c r="H26" s="17"/>
      <c r="K26" s="28"/>
      <c r="L26" s="28"/>
      <c r="M26" s="28"/>
    </row>
    <row r="27" spans="1:13" ht="15.75">
      <c r="A27" s="83">
        <v>2</v>
      </c>
      <c r="B27" s="298"/>
      <c r="C27" s="130">
        <v>2</v>
      </c>
      <c r="D27" s="126">
        <v>20.55</v>
      </c>
      <c r="E27" s="98">
        <f>30.7*1.05-0.04</f>
        <v>32.195</v>
      </c>
      <c r="F27" s="126">
        <f>38.1*1.05-0.01</f>
        <v>39.995000000000005</v>
      </c>
      <c r="G27" s="17"/>
      <c r="H27" s="17"/>
      <c r="K27" s="28"/>
      <c r="L27" s="28"/>
      <c r="M27" s="28"/>
    </row>
    <row r="28" spans="1:13" ht="16.5" thickBot="1">
      <c r="A28" s="84">
        <v>3</v>
      </c>
      <c r="B28" s="299"/>
      <c r="C28" s="113">
        <v>3</v>
      </c>
      <c r="D28" s="127">
        <f>D27*0.8-0.04</f>
        <v>16.400000000000002</v>
      </c>
      <c r="E28" s="99">
        <f>E27*0.8+0.04</f>
        <v>25.796</v>
      </c>
      <c r="F28" s="129">
        <f>F27*0.8</f>
        <v>31.996000000000006</v>
      </c>
      <c r="G28" s="17"/>
      <c r="H28" s="17"/>
      <c r="K28" s="28"/>
      <c r="L28" s="28"/>
      <c r="M28" s="28"/>
    </row>
    <row r="29" spans="1:13" ht="15.75">
      <c r="A29" s="82">
        <v>4</v>
      </c>
      <c r="B29" s="297" t="s">
        <v>8</v>
      </c>
      <c r="C29" s="131">
        <v>1</v>
      </c>
      <c r="D29" s="128">
        <f>D30*1.2-0.04</f>
        <v>32.6</v>
      </c>
      <c r="E29" s="100">
        <f>E30*1.2+0.04</f>
        <v>50.199999999999996</v>
      </c>
      <c r="F29" s="125">
        <f>F30*1.2+0.04</f>
        <v>62.79999999999999</v>
      </c>
      <c r="G29" s="17"/>
      <c r="H29" s="17"/>
      <c r="K29" s="28"/>
      <c r="L29" s="28"/>
      <c r="M29" s="28"/>
    </row>
    <row r="30" spans="1:13" ht="15.75">
      <c r="A30" s="83">
        <v>5</v>
      </c>
      <c r="B30" s="298"/>
      <c r="C30" s="130">
        <v>2</v>
      </c>
      <c r="D30" s="126">
        <v>27.2</v>
      </c>
      <c r="E30" s="98">
        <f>39.8*1.05+0.01</f>
        <v>41.8</v>
      </c>
      <c r="F30" s="126">
        <f>49.8*1.05+0.01</f>
        <v>52.3</v>
      </c>
      <c r="G30" s="17"/>
      <c r="H30" s="17"/>
      <c r="K30" s="28"/>
      <c r="L30" s="28"/>
      <c r="M30" s="28"/>
    </row>
    <row r="31" spans="1:13" ht="16.5" thickBot="1">
      <c r="A31" s="133">
        <v>6</v>
      </c>
      <c r="B31" s="325"/>
      <c r="C31" s="132">
        <v>3</v>
      </c>
      <c r="D31" s="129">
        <f>D30*0.8+0.04</f>
        <v>21.8</v>
      </c>
      <c r="E31" s="101">
        <f>E30*0.8-0.04</f>
        <v>33.4</v>
      </c>
      <c r="F31" s="127">
        <f>F30*0.8-0.04</f>
        <v>41.800000000000004</v>
      </c>
      <c r="G31" s="17"/>
      <c r="H31" s="17"/>
      <c r="K31" s="28"/>
      <c r="L31" s="28"/>
      <c r="M31" s="28"/>
    </row>
    <row r="32" spans="1:13" ht="15.75">
      <c r="A32" s="85">
        <v>7</v>
      </c>
      <c r="B32" s="310" t="s">
        <v>9</v>
      </c>
      <c r="C32" s="112">
        <v>1</v>
      </c>
      <c r="D32" s="125">
        <f>D33*1.2+0.02</f>
        <v>40.1</v>
      </c>
      <c r="E32" s="97">
        <f>E33*1.2-0.04</f>
        <v>61.4</v>
      </c>
      <c r="F32" s="128">
        <f>F33*1.2-0.05</f>
        <v>74.104</v>
      </c>
      <c r="G32" s="17"/>
      <c r="H32" s="17"/>
      <c r="K32" s="28"/>
      <c r="L32" s="28"/>
      <c r="M32" s="28"/>
    </row>
    <row r="33" spans="1:13" ht="15.75">
      <c r="A33" s="83">
        <v>8</v>
      </c>
      <c r="B33" s="298"/>
      <c r="C33" s="130">
        <v>2</v>
      </c>
      <c r="D33" s="126">
        <v>33.4</v>
      </c>
      <c r="E33" s="98">
        <f>48.8*1.05-0.04</f>
        <v>51.2</v>
      </c>
      <c r="F33" s="126">
        <f>58.9*1.05-0.05</f>
        <v>61.795</v>
      </c>
      <c r="G33" s="17"/>
      <c r="H33" s="17"/>
      <c r="K33" s="28"/>
      <c r="L33" s="28"/>
      <c r="M33" s="28"/>
    </row>
    <row r="34" spans="1:13" ht="16.5" thickBot="1">
      <c r="A34" s="84">
        <v>9</v>
      </c>
      <c r="B34" s="299"/>
      <c r="C34" s="113">
        <v>3</v>
      </c>
      <c r="D34" s="127">
        <f>D33*0.8-0.02</f>
        <v>26.7</v>
      </c>
      <c r="E34" s="99">
        <f>E33*0.8+0.04</f>
        <v>41.00000000000001</v>
      </c>
      <c r="F34" s="127">
        <f>F33*0.8-0.04</f>
        <v>49.39600000000001</v>
      </c>
      <c r="G34" s="17"/>
      <c r="H34" s="17"/>
      <c r="K34" s="28"/>
      <c r="L34" s="28"/>
      <c r="M34" s="28"/>
    </row>
    <row r="35" spans="1:13" ht="15.75">
      <c r="A35" s="82">
        <v>10</v>
      </c>
      <c r="B35" s="297" t="s">
        <v>10</v>
      </c>
      <c r="C35" s="131">
        <v>1</v>
      </c>
      <c r="D35" s="128">
        <f>D36*1.2-0.04</f>
        <v>55.400000000000006</v>
      </c>
      <c r="E35" s="100">
        <f>E36*1.2+0.03</f>
        <v>81.50399999999999</v>
      </c>
      <c r="F35" s="128">
        <f>F36*1.2-0.01</f>
        <v>94.904</v>
      </c>
      <c r="G35" s="17"/>
      <c r="H35" s="17"/>
      <c r="K35" s="28"/>
      <c r="L35" s="28"/>
      <c r="M35" s="28"/>
    </row>
    <row r="36" spans="1:13" ht="15.75">
      <c r="A36" s="83">
        <v>11</v>
      </c>
      <c r="B36" s="298"/>
      <c r="C36" s="130">
        <v>2</v>
      </c>
      <c r="D36" s="126">
        <v>46.2</v>
      </c>
      <c r="E36" s="98">
        <f>64.7*1.05-0.04</f>
        <v>67.895</v>
      </c>
      <c r="F36" s="126">
        <f>75.3*1.05+0.03</f>
        <v>79.095</v>
      </c>
      <c r="G36" s="17"/>
      <c r="H36" s="17"/>
      <c r="K36" s="28"/>
      <c r="L36" s="28"/>
      <c r="M36" s="28"/>
    </row>
    <row r="37" spans="1:13" ht="16.5" thickBot="1">
      <c r="A37" s="84">
        <v>12</v>
      </c>
      <c r="B37" s="299"/>
      <c r="C37" s="113">
        <v>3</v>
      </c>
      <c r="D37" s="127">
        <f>D36*0.8+0.04</f>
        <v>37</v>
      </c>
      <c r="E37" s="99">
        <f>E36*0.8-0.02</f>
        <v>54.296</v>
      </c>
      <c r="F37" s="127">
        <f>F36*0.8+0.02</f>
        <v>63.29600000000001</v>
      </c>
      <c r="G37" s="17"/>
      <c r="H37" s="17"/>
      <c r="K37" s="28"/>
      <c r="L37" s="28"/>
      <c r="M37" s="28"/>
    </row>
    <row r="38" spans="1:13" ht="15.75">
      <c r="A38" s="306" t="s">
        <v>32</v>
      </c>
      <c r="B38" s="307"/>
      <c r="C38" s="307"/>
      <c r="D38" s="308"/>
      <c r="E38" s="308"/>
      <c r="F38" s="309"/>
      <c r="G38" s="17"/>
      <c r="H38" s="17"/>
      <c r="K38" s="28"/>
      <c r="L38" s="28"/>
      <c r="M38" s="28"/>
    </row>
    <row r="39" spans="1:13" ht="13.5">
      <c r="A39" s="300" t="s">
        <v>1</v>
      </c>
      <c r="B39" s="301"/>
      <c r="C39" s="301"/>
      <c r="D39" s="301"/>
      <c r="E39" s="301"/>
      <c r="F39" s="302"/>
      <c r="G39" s="17"/>
      <c r="H39" s="17"/>
      <c r="K39" s="28"/>
      <c r="L39" s="28"/>
      <c r="M39" s="28"/>
    </row>
    <row r="40" spans="1:13" ht="16.5" thickBot="1">
      <c r="A40" s="303" t="s">
        <v>11</v>
      </c>
      <c r="B40" s="304"/>
      <c r="C40" s="304"/>
      <c r="D40" s="304"/>
      <c r="E40" s="304"/>
      <c r="F40" s="305"/>
      <c r="G40" s="17"/>
      <c r="H40" s="17"/>
      <c r="K40" s="28"/>
      <c r="L40" s="28"/>
      <c r="M40" s="28"/>
    </row>
    <row r="41" spans="1:13" ht="15" customHeight="1">
      <c r="A41" s="85">
        <v>13</v>
      </c>
      <c r="B41" s="310" t="s">
        <v>10</v>
      </c>
      <c r="C41" s="112">
        <v>1</v>
      </c>
      <c r="D41" s="119">
        <f>D42*1.2</f>
        <v>63</v>
      </c>
      <c r="E41" s="119">
        <f>E42*1.2+0.02</f>
        <v>86.9</v>
      </c>
      <c r="F41" s="119">
        <f>F42*1.2-0.01</f>
        <v>96.10399999999998</v>
      </c>
      <c r="G41" s="17"/>
      <c r="H41" s="17"/>
      <c r="K41" s="28"/>
      <c r="L41" s="28"/>
      <c r="M41" s="28"/>
    </row>
    <row r="42" spans="1:13" ht="15.75">
      <c r="A42" s="83">
        <v>14</v>
      </c>
      <c r="B42" s="298"/>
      <c r="C42" s="130">
        <v>2</v>
      </c>
      <c r="D42" s="139">
        <v>52.5</v>
      </c>
      <c r="E42" s="139">
        <f>69*1.05-0.05</f>
        <v>72.4</v>
      </c>
      <c r="F42" s="139">
        <f>76.3*1.05-0.02</f>
        <v>80.095</v>
      </c>
      <c r="G42" s="17"/>
      <c r="H42" s="17"/>
      <c r="K42" s="28"/>
      <c r="L42" s="28"/>
      <c r="M42" s="28"/>
    </row>
    <row r="43" spans="1:13" ht="16.5" thickBot="1">
      <c r="A43" s="84">
        <v>15</v>
      </c>
      <c r="B43" s="299"/>
      <c r="C43" s="113">
        <v>3</v>
      </c>
      <c r="D43" s="121">
        <f>D42*0.8</f>
        <v>42</v>
      </c>
      <c r="E43" s="121">
        <f>E42*0.8-0.02</f>
        <v>57.900000000000006</v>
      </c>
      <c r="F43" s="121">
        <f>F42*0.8+0.02</f>
        <v>64.096</v>
      </c>
      <c r="G43" s="17"/>
      <c r="H43" s="17"/>
      <c r="K43" s="28"/>
      <c r="L43" s="28"/>
      <c r="M43" s="28"/>
    </row>
    <row r="44" spans="1:13" ht="15.75">
      <c r="A44" s="249"/>
      <c r="B44" s="273"/>
      <c r="C44" s="248"/>
      <c r="D44" s="274"/>
      <c r="E44" s="274"/>
      <c r="F44" s="275"/>
      <c r="G44" s="17"/>
      <c r="H44" s="17"/>
      <c r="K44" s="28"/>
      <c r="L44" s="28"/>
      <c r="M44" s="28"/>
    </row>
    <row r="45" spans="1:13" ht="15.75" customHeight="1">
      <c r="A45" s="314" t="s">
        <v>258</v>
      </c>
      <c r="B45" s="315"/>
      <c r="C45" s="315"/>
      <c r="D45" s="315"/>
      <c r="E45" s="315"/>
      <c r="F45" s="316"/>
      <c r="G45" s="17"/>
      <c r="H45" s="17"/>
      <c r="K45" s="28"/>
      <c r="L45" s="28"/>
      <c r="M45" s="28"/>
    </row>
    <row r="46" spans="1:13" ht="13.5">
      <c r="A46" s="317" t="s">
        <v>1</v>
      </c>
      <c r="B46" s="318"/>
      <c r="C46" s="318"/>
      <c r="D46" s="318"/>
      <c r="E46" s="318"/>
      <c r="F46" s="319"/>
      <c r="G46" s="17"/>
      <c r="H46" s="17"/>
      <c r="K46" s="28"/>
      <c r="L46" s="28"/>
      <c r="M46" s="28"/>
    </row>
    <row r="47" spans="1:13" ht="16.5" thickBot="1">
      <c r="A47" s="320" t="s">
        <v>260</v>
      </c>
      <c r="B47" s="321"/>
      <c r="C47" s="321"/>
      <c r="D47" s="321"/>
      <c r="E47" s="321"/>
      <c r="F47" s="322"/>
      <c r="G47" s="17"/>
      <c r="H47" s="17"/>
      <c r="K47" s="28"/>
      <c r="L47" s="28"/>
      <c r="M47" s="28"/>
    </row>
    <row r="48" spans="1:13" ht="12.75">
      <c r="A48" s="217">
        <v>16</v>
      </c>
      <c r="B48" s="295" t="s">
        <v>259</v>
      </c>
      <c r="C48" s="269">
        <v>2</v>
      </c>
      <c r="D48" s="219">
        <v>33</v>
      </c>
      <c r="E48" s="270">
        <v>48.1</v>
      </c>
      <c r="F48" s="219">
        <v>58.2</v>
      </c>
      <c r="G48" s="17"/>
      <c r="H48" s="17"/>
      <c r="K48" s="28"/>
      <c r="L48" s="28"/>
      <c r="M48" s="28"/>
    </row>
    <row r="49" spans="1:13" ht="13.5" thickBot="1">
      <c r="A49" s="266">
        <v>17</v>
      </c>
      <c r="B49" s="296"/>
      <c r="C49" s="267">
        <v>3</v>
      </c>
      <c r="D49" s="218">
        <f>D48*0.8</f>
        <v>26.400000000000002</v>
      </c>
      <c r="E49" s="268">
        <f>E48*0.8+0.02</f>
        <v>38.50000000000001</v>
      </c>
      <c r="F49" s="218">
        <f>F48*0.8+0.04</f>
        <v>46.6</v>
      </c>
      <c r="G49" s="17"/>
      <c r="H49" s="17"/>
      <c r="K49" s="28"/>
      <c r="L49" s="28"/>
      <c r="M49" s="28"/>
    </row>
    <row r="50" spans="1:13" ht="15.75">
      <c r="A50" s="59"/>
      <c r="B50" s="10"/>
      <c r="C50" s="9"/>
      <c r="D50" s="271"/>
      <c r="E50" s="271"/>
      <c r="F50" s="272"/>
      <c r="G50" s="17"/>
      <c r="H50" s="17"/>
      <c r="K50" s="28"/>
      <c r="L50" s="28"/>
      <c r="M50" s="28"/>
    </row>
    <row r="51" spans="1:13" ht="15.75">
      <c r="A51" s="346" t="s">
        <v>33</v>
      </c>
      <c r="B51" s="347"/>
      <c r="C51" s="347"/>
      <c r="D51" s="347"/>
      <c r="E51" s="347"/>
      <c r="F51" s="348"/>
      <c r="G51" s="17"/>
      <c r="H51" s="17"/>
      <c r="K51" s="28"/>
      <c r="L51" s="28"/>
      <c r="M51" s="28"/>
    </row>
    <row r="52" spans="1:13" ht="15.75">
      <c r="A52" s="326" t="s">
        <v>12</v>
      </c>
      <c r="B52" s="308"/>
      <c r="C52" s="308"/>
      <c r="D52" s="308"/>
      <c r="E52" s="308"/>
      <c r="F52" s="309"/>
      <c r="G52" s="17"/>
      <c r="H52" s="17"/>
      <c r="K52" s="28"/>
      <c r="L52" s="28"/>
      <c r="M52" s="28"/>
    </row>
    <row r="53" spans="1:13" ht="13.5">
      <c r="A53" s="300" t="s">
        <v>13</v>
      </c>
      <c r="B53" s="301"/>
      <c r="C53" s="301"/>
      <c r="D53" s="301"/>
      <c r="E53" s="301"/>
      <c r="F53" s="302"/>
      <c r="G53" s="17"/>
      <c r="H53" s="17"/>
      <c r="K53" s="28"/>
      <c r="L53" s="28"/>
      <c r="M53" s="28"/>
    </row>
    <row r="54" spans="1:13" ht="16.5" thickBot="1">
      <c r="A54" s="303" t="s">
        <v>14</v>
      </c>
      <c r="B54" s="304"/>
      <c r="C54" s="304"/>
      <c r="D54" s="304"/>
      <c r="E54" s="304"/>
      <c r="F54" s="305"/>
      <c r="G54" s="17"/>
      <c r="H54" s="17"/>
      <c r="K54" s="28"/>
      <c r="L54" s="28"/>
      <c r="M54" s="28"/>
    </row>
    <row r="55" spans="1:13" ht="15" customHeight="1">
      <c r="A55" s="85">
        <v>18</v>
      </c>
      <c r="B55" s="310" t="s">
        <v>15</v>
      </c>
      <c r="C55" s="89">
        <v>1</v>
      </c>
      <c r="D55" s="119">
        <f>D56*1.2-0.02</f>
        <v>23.5</v>
      </c>
      <c r="E55" s="136">
        <f>E56*1.2+0.04</f>
        <v>37.6</v>
      </c>
      <c r="F55" s="119">
        <f>F56*1.2</f>
        <v>47.400000000000006</v>
      </c>
      <c r="G55" s="17"/>
      <c r="H55" s="17"/>
      <c r="J55" s="3"/>
      <c r="K55" s="28"/>
      <c r="L55" s="28"/>
      <c r="M55" s="28"/>
    </row>
    <row r="56" spans="1:13" ht="15.75">
      <c r="A56" s="83">
        <v>19</v>
      </c>
      <c r="B56" s="298"/>
      <c r="C56" s="159">
        <v>2</v>
      </c>
      <c r="D56" s="139">
        <v>19.6</v>
      </c>
      <c r="E56" s="137">
        <f>29.8*1.05+0.01</f>
        <v>31.300000000000004</v>
      </c>
      <c r="F56" s="139">
        <f>37.6*1.05+0.02</f>
        <v>39.50000000000001</v>
      </c>
      <c r="G56" s="17"/>
      <c r="H56" s="17"/>
      <c r="K56" s="28"/>
      <c r="L56" s="28"/>
      <c r="M56" s="28"/>
    </row>
    <row r="57" spans="1:13" ht="16.5" thickBot="1">
      <c r="A57" s="84">
        <v>20</v>
      </c>
      <c r="B57" s="299"/>
      <c r="C57" s="88">
        <v>3</v>
      </c>
      <c r="D57" s="121">
        <f>D56*0.8+0.02</f>
        <v>15.700000000000001</v>
      </c>
      <c r="E57" s="138">
        <f>E56*0.8-0.04</f>
        <v>25.000000000000007</v>
      </c>
      <c r="F57" s="121">
        <f>F56*0.8</f>
        <v>31.60000000000001</v>
      </c>
      <c r="G57" s="17"/>
      <c r="H57" s="17"/>
      <c r="K57" s="28"/>
      <c r="L57" s="28"/>
      <c r="M57" s="28"/>
    </row>
    <row r="58" spans="1:13" ht="15.75">
      <c r="A58" s="311" t="s">
        <v>34</v>
      </c>
      <c r="B58" s="312"/>
      <c r="C58" s="312"/>
      <c r="D58" s="347"/>
      <c r="E58" s="347"/>
      <c r="F58" s="348"/>
      <c r="G58" s="17"/>
      <c r="H58" s="17"/>
      <c r="K58" s="28"/>
      <c r="L58" s="28"/>
      <c r="M58" s="28"/>
    </row>
    <row r="59" spans="1:13" ht="15.75">
      <c r="A59" s="326" t="s">
        <v>35</v>
      </c>
      <c r="B59" s="308"/>
      <c r="C59" s="308"/>
      <c r="D59" s="308"/>
      <c r="E59" s="308"/>
      <c r="F59" s="309"/>
      <c r="G59" s="17"/>
      <c r="H59" s="17"/>
      <c r="K59" s="28"/>
      <c r="L59" s="28"/>
      <c r="M59" s="28"/>
    </row>
    <row r="60" spans="1:13" ht="13.5">
      <c r="A60" s="300" t="s">
        <v>17</v>
      </c>
      <c r="B60" s="301"/>
      <c r="C60" s="301"/>
      <c r="D60" s="301"/>
      <c r="E60" s="301"/>
      <c r="F60" s="302"/>
      <c r="G60" s="17"/>
      <c r="H60" s="17"/>
      <c r="K60" s="28"/>
      <c r="L60" s="28"/>
      <c r="M60" s="28"/>
    </row>
    <row r="61" spans="1:13" ht="16.5" thickBot="1">
      <c r="A61" s="303" t="s">
        <v>18</v>
      </c>
      <c r="B61" s="304"/>
      <c r="C61" s="304"/>
      <c r="D61" s="304"/>
      <c r="E61" s="304"/>
      <c r="F61" s="305"/>
      <c r="G61" s="17"/>
      <c r="H61" s="17"/>
      <c r="K61" s="28"/>
      <c r="L61" s="28"/>
      <c r="M61" s="28"/>
    </row>
    <row r="62" spans="1:13" ht="15" customHeight="1">
      <c r="A62" s="85">
        <v>21</v>
      </c>
      <c r="B62" s="373" t="s">
        <v>19</v>
      </c>
      <c r="C62" s="89">
        <v>1</v>
      </c>
      <c r="D62" s="119">
        <f>D63*1.2+0.04</f>
        <v>57.39999999999999</v>
      </c>
      <c r="E62" s="136">
        <f>E63*1.2</f>
        <v>82.20000000000002</v>
      </c>
      <c r="F62" s="119">
        <f>F63*1.2</f>
        <v>100.8</v>
      </c>
      <c r="G62" s="17"/>
      <c r="H62" s="17"/>
      <c r="I62" s="3"/>
      <c r="K62" s="28"/>
      <c r="L62" s="28"/>
      <c r="M62" s="28"/>
    </row>
    <row r="63" spans="1:13" ht="16.5" thickBot="1">
      <c r="A63" s="84">
        <v>22</v>
      </c>
      <c r="B63" s="374"/>
      <c r="C63" s="160">
        <v>2</v>
      </c>
      <c r="D63" s="144">
        <v>47.8</v>
      </c>
      <c r="E63" s="143">
        <f>65.2*1.05+0.04</f>
        <v>68.50000000000001</v>
      </c>
      <c r="F63" s="144">
        <f>80*1.05</f>
        <v>84</v>
      </c>
      <c r="G63" s="17"/>
      <c r="H63" s="17"/>
      <c r="I63" s="3"/>
      <c r="K63" s="28"/>
      <c r="L63" s="28"/>
      <c r="M63" s="28"/>
    </row>
    <row r="64" spans="1:13" ht="16.5" customHeight="1">
      <c r="A64" s="332" t="s">
        <v>36</v>
      </c>
      <c r="B64" s="333"/>
      <c r="C64" s="333"/>
      <c r="D64" s="362"/>
      <c r="E64" s="362"/>
      <c r="F64" s="406"/>
      <c r="G64" s="17"/>
      <c r="H64" s="17"/>
      <c r="I64" s="3"/>
      <c r="K64" s="28"/>
      <c r="L64" s="28"/>
      <c r="M64" s="28"/>
    </row>
    <row r="65" spans="1:13" ht="13.5">
      <c r="A65" s="300" t="s">
        <v>1</v>
      </c>
      <c r="B65" s="301"/>
      <c r="C65" s="301"/>
      <c r="D65" s="301"/>
      <c r="E65" s="301"/>
      <c r="F65" s="302"/>
      <c r="G65" s="17"/>
      <c r="H65" s="17"/>
      <c r="K65" s="28"/>
      <c r="L65" s="28"/>
      <c r="M65" s="28"/>
    </row>
    <row r="66" spans="1:13" ht="16.5" thickBot="1">
      <c r="A66" s="303" t="s">
        <v>20</v>
      </c>
      <c r="B66" s="304"/>
      <c r="C66" s="304"/>
      <c r="D66" s="304"/>
      <c r="E66" s="304"/>
      <c r="F66" s="305"/>
      <c r="G66" s="17"/>
      <c r="H66" s="17"/>
      <c r="K66" s="28"/>
      <c r="L66" s="28"/>
      <c r="M66" s="28"/>
    </row>
    <row r="67" spans="1:13" ht="15" customHeight="1">
      <c r="A67" s="85">
        <v>23</v>
      </c>
      <c r="B67" s="310" t="s">
        <v>21</v>
      </c>
      <c r="C67" s="89">
        <v>1</v>
      </c>
      <c r="D67" s="119">
        <f>D68*1.2+0.04</f>
        <v>38.199999999999996</v>
      </c>
      <c r="E67" s="136">
        <f>E68*1.2+0.02</f>
        <v>57.50000000000001</v>
      </c>
      <c r="F67" s="119">
        <f>F68*1.2+0.04</f>
        <v>73.6</v>
      </c>
      <c r="G67" s="17"/>
      <c r="H67" s="17"/>
      <c r="K67" s="28"/>
      <c r="L67" s="28"/>
      <c r="M67" s="28"/>
    </row>
    <row r="68" spans="1:13" ht="16.5" thickBot="1">
      <c r="A68" s="84">
        <v>24</v>
      </c>
      <c r="B68" s="299"/>
      <c r="C68" s="160">
        <v>2</v>
      </c>
      <c r="D68" s="144">
        <v>31.8</v>
      </c>
      <c r="E68" s="143">
        <f>45.6*1.05+0.02</f>
        <v>47.900000000000006</v>
      </c>
      <c r="F68" s="144">
        <f>58.4*1.05-0.02</f>
        <v>61.3</v>
      </c>
      <c r="G68" s="17"/>
      <c r="H68" s="17"/>
      <c r="K68" s="28"/>
      <c r="L68" s="28"/>
      <c r="M68" s="28"/>
    </row>
    <row r="69" spans="1:13" ht="13.5" customHeight="1">
      <c r="A69" s="82">
        <v>25</v>
      </c>
      <c r="B69" s="297" t="s">
        <v>10</v>
      </c>
      <c r="C69" s="86">
        <v>1</v>
      </c>
      <c r="D69" s="146">
        <f>D70*1.2-0.04</f>
        <v>45.800000000000004</v>
      </c>
      <c r="E69" s="145">
        <f>E70*1.2+0.04</f>
        <v>73.6</v>
      </c>
      <c r="F69" s="146">
        <f>F70*1.2+0.04</f>
        <v>85.00000000000001</v>
      </c>
      <c r="G69" s="17"/>
      <c r="H69" s="17"/>
      <c r="K69" s="28"/>
      <c r="L69" s="28"/>
      <c r="M69" s="28"/>
    </row>
    <row r="70" spans="1:13" ht="15" customHeight="1" thickBot="1">
      <c r="A70" s="84">
        <v>26</v>
      </c>
      <c r="B70" s="299"/>
      <c r="C70" s="160">
        <v>2</v>
      </c>
      <c r="D70" s="144">
        <v>38.2</v>
      </c>
      <c r="E70" s="143">
        <f>58.4*1.05-0.02</f>
        <v>61.3</v>
      </c>
      <c r="F70" s="144">
        <f>67.4*1.05+0.03</f>
        <v>70.80000000000001</v>
      </c>
      <c r="G70" s="17"/>
      <c r="H70" s="17"/>
      <c r="K70" s="28"/>
      <c r="L70" s="28"/>
      <c r="M70" s="28"/>
    </row>
    <row r="71" spans="1:13" ht="15.75">
      <c r="A71" s="311" t="s">
        <v>207</v>
      </c>
      <c r="B71" s="312"/>
      <c r="C71" s="312"/>
      <c r="D71" s="347"/>
      <c r="E71" s="347"/>
      <c r="F71" s="348"/>
      <c r="G71" s="17"/>
      <c r="H71" s="17"/>
      <c r="K71" s="28"/>
      <c r="L71" s="28"/>
      <c r="M71" s="28"/>
    </row>
    <row r="72" spans="1:13" ht="13.5">
      <c r="A72" s="300" t="s">
        <v>1</v>
      </c>
      <c r="B72" s="301"/>
      <c r="C72" s="301"/>
      <c r="D72" s="301"/>
      <c r="E72" s="301"/>
      <c r="F72" s="302"/>
      <c r="G72" s="17"/>
      <c r="H72" s="17"/>
      <c r="K72" s="28"/>
      <c r="L72" s="28"/>
      <c r="M72" s="28"/>
    </row>
    <row r="73" spans="1:13" ht="16.5" thickBot="1">
      <c r="A73" s="303" t="s">
        <v>22</v>
      </c>
      <c r="B73" s="304"/>
      <c r="C73" s="304"/>
      <c r="D73" s="304"/>
      <c r="E73" s="304"/>
      <c r="F73" s="305"/>
      <c r="G73" s="17"/>
      <c r="H73" s="17"/>
      <c r="K73" s="28"/>
      <c r="L73" s="28"/>
      <c r="M73" s="28"/>
    </row>
    <row r="74" spans="1:13" ht="16.5" thickBot="1">
      <c r="A74" s="155">
        <v>27</v>
      </c>
      <c r="B74" s="156" t="s">
        <v>23</v>
      </c>
      <c r="C74" s="123" t="s">
        <v>24</v>
      </c>
      <c r="D74" s="90">
        <v>15.5</v>
      </c>
      <c r="E74" s="90">
        <f>23.8*1.05+0.01</f>
        <v>25.000000000000004</v>
      </c>
      <c r="F74" s="90">
        <f>32.9*1.05-0.05</f>
        <v>34.495000000000005</v>
      </c>
      <c r="G74" s="17"/>
      <c r="H74" s="17"/>
      <c r="K74" s="28"/>
      <c r="L74" s="28"/>
      <c r="M74" s="28"/>
    </row>
    <row r="75" spans="1:13" ht="15.75">
      <c r="A75" s="311" t="s">
        <v>37</v>
      </c>
      <c r="B75" s="312"/>
      <c r="C75" s="312"/>
      <c r="D75" s="312"/>
      <c r="E75" s="312"/>
      <c r="F75" s="313"/>
      <c r="G75" s="17"/>
      <c r="H75" s="17"/>
      <c r="K75" s="28"/>
      <c r="L75" s="28"/>
      <c r="M75" s="28"/>
    </row>
    <row r="76" spans="1:13" ht="15.75">
      <c r="A76" s="326" t="s">
        <v>25</v>
      </c>
      <c r="B76" s="308"/>
      <c r="C76" s="308"/>
      <c r="D76" s="308"/>
      <c r="E76" s="308"/>
      <c r="F76" s="309"/>
      <c r="G76" s="17"/>
      <c r="H76" s="17"/>
      <c r="K76" s="28"/>
      <c r="L76" s="28"/>
      <c r="M76" s="28"/>
    </row>
    <row r="77" spans="1:13" ht="15.75">
      <c r="A77" s="327" t="s">
        <v>26</v>
      </c>
      <c r="B77" s="328"/>
      <c r="C77" s="328"/>
      <c r="D77" s="328"/>
      <c r="E77" s="328"/>
      <c r="F77" s="329"/>
      <c r="G77" s="17"/>
      <c r="H77" s="17"/>
      <c r="K77" s="28"/>
      <c r="L77" s="28"/>
      <c r="M77" s="28"/>
    </row>
    <row r="78" spans="1:13" ht="13.5">
      <c r="A78" s="300" t="s">
        <v>1</v>
      </c>
      <c r="B78" s="301"/>
      <c r="C78" s="301"/>
      <c r="D78" s="301"/>
      <c r="E78" s="301"/>
      <c r="F78" s="302"/>
      <c r="G78" s="17"/>
      <c r="H78" s="17"/>
      <c r="K78" s="28"/>
      <c r="L78" s="28"/>
      <c r="M78" s="28"/>
    </row>
    <row r="79" spans="1:13" ht="16.5" thickBot="1">
      <c r="A79" s="303" t="s">
        <v>27</v>
      </c>
      <c r="B79" s="304"/>
      <c r="C79" s="304"/>
      <c r="D79" s="304"/>
      <c r="E79" s="304"/>
      <c r="F79" s="305"/>
      <c r="G79" s="17"/>
      <c r="H79" s="17"/>
      <c r="K79" s="28"/>
      <c r="L79" s="28"/>
      <c r="M79" s="28"/>
    </row>
    <row r="80" spans="1:13" ht="15.75" customHeight="1">
      <c r="A80" s="85">
        <v>28</v>
      </c>
      <c r="B80" s="310" t="s">
        <v>28</v>
      </c>
      <c r="C80" s="161">
        <v>2</v>
      </c>
      <c r="D80" s="149">
        <v>20.6</v>
      </c>
      <c r="E80" s="91">
        <f>34*1.05</f>
        <v>35.7</v>
      </c>
      <c r="F80" s="149">
        <f>41.9*1.05</f>
        <v>43.995</v>
      </c>
      <c r="G80" s="17"/>
      <c r="H80" s="17"/>
      <c r="K80" s="28"/>
      <c r="L80" s="28"/>
      <c r="M80" s="28"/>
    </row>
    <row r="81" spans="1:13" ht="16.5" thickBot="1">
      <c r="A81" s="84">
        <v>29</v>
      </c>
      <c r="B81" s="299"/>
      <c r="C81" s="148">
        <v>3</v>
      </c>
      <c r="D81" s="121">
        <f>D80*0.8+0.02</f>
        <v>16.5</v>
      </c>
      <c r="E81" s="69">
        <f>E80*0.8+0.04</f>
        <v>28.6</v>
      </c>
      <c r="F81" s="121">
        <f>F80*0.8</f>
        <v>35.196</v>
      </c>
      <c r="G81" s="17"/>
      <c r="H81" s="17"/>
      <c r="K81" s="28"/>
      <c r="L81" s="28"/>
      <c r="M81" s="28"/>
    </row>
    <row r="82" spans="1:13" ht="15.75">
      <c r="A82" s="9"/>
      <c r="B82" s="10"/>
      <c r="C82" s="9"/>
      <c r="D82" s="9"/>
      <c r="E82" s="9"/>
      <c r="F82" s="9"/>
      <c r="G82" s="17"/>
      <c r="H82" s="17"/>
      <c r="K82" s="28"/>
      <c r="L82" s="28"/>
      <c r="M82" s="28"/>
    </row>
    <row r="83" spans="1:13" ht="15.75">
      <c r="A83" s="378" t="s">
        <v>59</v>
      </c>
      <c r="B83" s="378"/>
      <c r="C83" s="378"/>
      <c r="D83" s="378"/>
      <c r="E83" s="378"/>
      <c r="F83" s="378"/>
      <c r="G83" s="17"/>
      <c r="H83" s="17"/>
      <c r="K83" s="28"/>
      <c r="L83" s="28"/>
      <c r="M83" s="28"/>
    </row>
    <row r="84" spans="1:13" ht="16.5" thickBot="1">
      <c r="A84" s="308" t="s">
        <v>39</v>
      </c>
      <c r="B84" s="308"/>
      <c r="C84" s="308"/>
      <c r="D84" s="308"/>
      <c r="E84" s="308"/>
      <c r="F84" s="308"/>
      <c r="G84" s="17"/>
      <c r="H84" s="17"/>
      <c r="K84" s="28"/>
      <c r="L84" s="28"/>
      <c r="M84" s="28"/>
    </row>
    <row r="85" spans="1:13" ht="13.5" thickBot="1">
      <c r="A85" s="353" t="s">
        <v>3</v>
      </c>
      <c r="B85" s="342" t="s">
        <v>4</v>
      </c>
      <c r="C85" s="383" t="s">
        <v>5</v>
      </c>
      <c r="D85" s="323" t="s">
        <v>6</v>
      </c>
      <c r="E85" s="323"/>
      <c r="F85" s="324"/>
      <c r="G85" s="17"/>
      <c r="H85" s="17"/>
      <c r="K85" s="28"/>
      <c r="L85" s="28"/>
      <c r="M85" s="28"/>
    </row>
    <row r="86" spans="1:13" ht="33.75" customHeight="1" thickBot="1">
      <c r="A86" s="354"/>
      <c r="B86" s="350"/>
      <c r="C86" s="398"/>
      <c r="D86" s="107" t="s">
        <v>102</v>
      </c>
      <c r="E86" s="107" t="s">
        <v>103</v>
      </c>
      <c r="F86" s="124" t="s">
        <v>104</v>
      </c>
      <c r="G86" s="17"/>
      <c r="H86" s="17"/>
      <c r="K86" s="28"/>
      <c r="L86" s="28"/>
      <c r="M86" s="28"/>
    </row>
    <row r="87" spans="1:13" ht="16.5" thickBot="1">
      <c r="A87" s="346" t="s">
        <v>94</v>
      </c>
      <c r="B87" s="347"/>
      <c r="C87" s="347"/>
      <c r="D87" s="347"/>
      <c r="E87" s="347"/>
      <c r="F87" s="348"/>
      <c r="G87" s="17"/>
      <c r="H87" s="17"/>
      <c r="K87" s="28"/>
      <c r="L87" s="28"/>
      <c r="M87" s="28"/>
    </row>
    <row r="88" spans="1:13" ht="15.75">
      <c r="A88" s="306" t="s">
        <v>266</v>
      </c>
      <c r="B88" s="307"/>
      <c r="C88" s="307"/>
      <c r="D88" s="307"/>
      <c r="E88" s="307"/>
      <c r="F88" s="379"/>
      <c r="G88" s="17"/>
      <c r="H88" s="17"/>
      <c r="K88" s="28"/>
      <c r="L88" s="28"/>
      <c r="M88" s="28"/>
    </row>
    <row r="89" spans="1:13" ht="13.5">
      <c r="A89" s="300" t="s">
        <v>40</v>
      </c>
      <c r="B89" s="301"/>
      <c r="C89" s="301"/>
      <c r="D89" s="301"/>
      <c r="E89" s="301"/>
      <c r="F89" s="302"/>
      <c r="G89" s="17"/>
      <c r="H89" s="17"/>
      <c r="K89" s="28"/>
      <c r="L89" s="28"/>
      <c r="M89" s="28"/>
    </row>
    <row r="90" spans="1:13" ht="15" customHeight="1" thickBot="1">
      <c r="A90" s="303" t="s">
        <v>14</v>
      </c>
      <c r="B90" s="304"/>
      <c r="C90" s="304"/>
      <c r="D90" s="304"/>
      <c r="E90" s="304"/>
      <c r="F90" s="305"/>
      <c r="G90" s="17"/>
      <c r="H90" s="17"/>
      <c r="K90" s="28"/>
      <c r="L90" s="28"/>
      <c r="M90" s="28"/>
    </row>
    <row r="91" spans="1:13" ht="33" customHeight="1" hidden="1" thickBot="1">
      <c r="A91" s="79"/>
      <c r="B91" s="80"/>
      <c r="C91" s="80"/>
      <c r="D91" s="229" t="s">
        <v>251</v>
      </c>
      <c r="E91" s="229" t="s">
        <v>252</v>
      </c>
      <c r="F91" s="95" t="s">
        <v>251</v>
      </c>
      <c r="G91" s="17"/>
      <c r="H91" s="17"/>
      <c r="K91" s="28"/>
      <c r="L91" s="28"/>
      <c r="M91" s="28"/>
    </row>
    <row r="92" spans="1:13" ht="15.75">
      <c r="A92" s="85">
        <v>30</v>
      </c>
      <c r="B92" s="310" t="s">
        <v>7</v>
      </c>
      <c r="C92" s="112">
        <v>1</v>
      </c>
      <c r="D92" s="102">
        <f>D93*1.2</f>
        <v>21</v>
      </c>
      <c r="E92" s="73">
        <f>E93*1.2-0.05</f>
        <v>33.304</v>
      </c>
      <c r="F92" s="73">
        <f>F93*1.2-0.02</f>
        <v>42.099999999999994</v>
      </c>
      <c r="G92" s="17"/>
      <c r="H92" s="17"/>
      <c r="K92" s="28"/>
      <c r="L92" s="28"/>
      <c r="M92" s="28"/>
    </row>
    <row r="93" spans="1:13" ht="15.75">
      <c r="A93" s="83">
        <v>31</v>
      </c>
      <c r="B93" s="298"/>
      <c r="C93" s="130">
        <v>2</v>
      </c>
      <c r="D93" s="140">
        <v>17.5</v>
      </c>
      <c r="E93" s="68">
        <f>26.5*1.05-0.03</f>
        <v>27.795</v>
      </c>
      <c r="F93" s="68">
        <f>33.4*1.05+0.03</f>
        <v>35.1</v>
      </c>
      <c r="G93" s="17"/>
      <c r="H93" s="17"/>
      <c r="K93" s="28"/>
      <c r="L93" s="28"/>
      <c r="M93" s="28"/>
    </row>
    <row r="94" spans="1:13" ht="16.5" thickBot="1">
      <c r="A94" s="84">
        <v>32</v>
      </c>
      <c r="B94" s="299"/>
      <c r="C94" s="113">
        <v>3</v>
      </c>
      <c r="D94" s="141">
        <f>D93*0.8</f>
        <v>14</v>
      </c>
      <c r="E94" s="69">
        <f>E93*0.8-0.04</f>
        <v>22.196000000000005</v>
      </c>
      <c r="F94" s="69">
        <f>F93*0.8+0.02</f>
        <v>28.1</v>
      </c>
      <c r="G94" s="17"/>
      <c r="H94" s="17"/>
      <c r="K94" s="28"/>
      <c r="L94" s="28"/>
      <c r="M94" s="28"/>
    </row>
    <row r="95" spans="1:13" ht="15.75">
      <c r="A95" s="82">
        <v>33</v>
      </c>
      <c r="B95" s="297" t="s">
        <v>41</v>
      </c>
      <c r="C95" s="131">
        <v>1</v>
      </c>
      <c r="D95" s="150">
        <f>D96*1.2-0.02</f>
        <v>24.700000000000003</v>
      </c>
      <c r="E95" s="71">
        <f>E96*1.2+0.04</f>
        <v>38.800000000000004</v>
      </c>
      <c r="F95" s="71">
        <f>F96*1.2-0.01</f>
        <v>47.504000000000005</v>
      </c>
      <c r="G95" s="17"/>
      <c r="H95" s="17"/>
      <c r="K95" s="28"/>
      <c r="L95" s="28"/>
      <c r="M95" s="28"/>
    </row>
    <row r="96" spans="1:13" ht="15.75">
      <c r="A96" s="83">
        <v>34</v>
      </c>
      <c r="B96" s="298"/>
      <c r="C96" s="130">
        <v>2</v>
      </c>
      <c r="D96" s="140">
        <v>20.6</v>
      </c>
      <c r="E96" s="68">
        <f>30.8*1.05-0.04</f>
        <v>32.300000000000004</v>
      </c>
      <c r="F96" s="68">
        <f>37.7*1.05+0.01</f>
        <v>39.595000000000006</v>
      </c>
      <c r="G96" s="17"/>
      <c r="H96" s="17"/>
      <c r="K96" s="28"/>
      <c r="L96" s="28"/>
      <c r="M96" s="28"/>
    </row>
    <row r="97" spans="1:13" ht="16.5" thickBot="1">
      <c r="A97" s="133">
        <v>35</v>
      </c>
      <c r="B97" s="325"/>
      <c r="C97" s="132">
        <v>3</v>
      </c>
      <c r="D97" s="151">
        <f>D96*0.8+0.02</f>
        <v>16.5</v>
      </c>
      <c r="E97" s="104">
        <f>E96*0.8-0.04</f>
        <v>25.800000000000004</v>
      </c>
      <c r="F97" s="104">
        <f>F96*0.8+0.02</f>
        <v>31.696000000000005</v>
      </c>
      <c r="G97" s="17"/>
      <c r="H97" s="17"/>
      <c r="K97" s="28"/>
      <c r="L97" s="28"/>
      <c r="M97" s="28"/>
    </row>
    <row r="98" spans="1:13" ht="15.75">
      <c r="A98" s="85">
        <v>36</v>
      </c>
      <c r="B98" s="310" t="s">
        <v>10</v>
      </c>
      <c r="C98" s="112">
        <v>1</v>
      </c>
      <c r="D98" s="102">
        <f>D99*1.2</f>
        <v>29.4</v>
      </c>
      <c r="E98" s="73">
        <f>E99*1.2-0.03</f>
        <v>43.403999999999996</v>
      </c>
      <c r="F98" s="73">
        <f>F99*1.2</f>
        <v>53.4</v>
      </c>
      <c r="G98" s="17"/>
      <c r="H98" s="17"/>
      <c r="K98" s="28"/>
      <c r="L98" s="28"/>
      <c r="M98" s="28"/>
    </row>
    <row r="99" spans="1:13" ht="15.75">
      <c r="A99" s="83">
        <v>37</v>
      </c>
      <c r="B99" s="298"/>
      <c r="C99" s="130">
        <v>2</v>
      </c>
      <c r="D99" s="140">
        <v>24.5</v>
      </c>
      <c r="E99" s="68">
        <f>34.5*1.05-0.03</f>
        <v>36.195</v>
      </c>
      <c r="F99" s="68">
        <f>42.4*1.05-0.02</f>
        <v>44.5</v>
      </c>
      <c r="G99" s="17"/>
      <c r="H99" s="17"/>
      <c r="K99" s="28"/>
      <c r="L99" s="28"/>
      <c r="M99" s="28"/>
    </row>
    <row r="100" spans="1:13" ht="16.5" thickBot="1">
      <c r="A100" s="84">
        <v>38</v>
      </c>
      <c r="B100" s="299"/>
      <c r="C100" s="113">
        <v>3</v>
      </c>
      <c r="D100" s="141">
        <f>D99*0.8</f>
        <v>19.6</v>
      </c>
      <c r="E100" s="69">
        <f>E99*0.8+0.04</f>
        <v>28.996000000000002</v>
      </c>
      <c r="F100" s="69">
        <f>F99*0.8</f>
        <v>35.6</v>
      </c>
      <c r="G100" s="17"/>
      <c r="H100" s="17"/>
      <c r="K100" s="28"/>
      <c r="L100" s="28"/>
      <c r="M100" s="28"/>
    </row>
    <row r="101" spans="1:13" ht="13.5">
      <c r="A101" s="370" t="s">
        <v>42</v>
      </c>
      <c r="B101" s="371"/>
      <c r="C101" s="371"/>
      <c r="D101" s="371"/>
      <c r="E101" s="371"/>
      <c r="F101" s="372"/>
      <c r="G101" s="17"/>
      <c r="H101" s="17"/>
      <c r="K101" s="28"/>
      <c r="L101" s="28"/>
      <c r="M101" s="28"/>
    </row>
    <row r="102" spans="1:13" ht="15" customHeight="1" thickBot="1">
      <c r="A102" s="303" t="s">
        <v>14</v>
      </c>
      <c r="B102" s="304"/>
      <c r="C102" s="304"/>
      <c r="D102" s="304"/>
      <c r="E102" s="304"/>
      <c r="F102" s="305"/>
      <c r="G102" s="17"/>
      <c r="H102" s="17"/>
      <c r="K102" s="28"/>
      <c r="L102" s="28"/>
      <c r="M102" s="28"/>
    </row>
    <row r="103" spans="1:13" ht="15.75">
      <c r="A103" s="85">
        <v>39</v>
      </c>
      <c r="B103" s="310" t="s">
        <v>7</v>
      </c>
      <c r="C103" s="147">
        <v>1</v>
      </c>
      <c r="D103" s="118">
        <f>D104*1.2+0.02</f>
        <v>17.3</v>
      </c>
      <c r="E103" s="118">
        <f>E104*1.2-0.04</f>
        <v>27.200000000000003</v>
      </c>
      <c r="F103" s="119">
        <f>F104*1.2+0.04</f>
        <v>37.6</v>
      </c>
      <c r="G103" s="17"/>
      <c r="H103" s="17"/>
      <c r="K103" s="28"/>
      <c r="L103" s="28"/>
      <c r="M103" s="28"/>
    </row>
    <row r="104" spans="1:13" ht="15.75">
      <c r="A104" s="83">
        <v>40</v>
      </c>
      <c r="B104" s="298"/>
      <c r="C104" s="162">
        <v>2</v>
      </c>
      <c r="D104" s="116">
        <v>14.4</v>
      </c>
      <c r="E104" s="116">
        <f>21.6*1.05+0.02</f>
        <v>22.700000000000003</v>
      </c>
      <c r="F104" s="139">
        <f>29.8*1.05+0.01</f>
        <v>31.300000000000004</v>
      </c>
      <c r="G104" s="17"/>
      <c r="H104" s="17"/>
      <c r="K104" s="28"/>
      <c r="L104" s="28"/>
      <c r="M104" s="28"/>
    </row>
    <row r="105" spans="1:13" ht="16.5" thickBot="1">
      <c r="A105" s="84">
        <v>41</v>
      </c>
      <c r="B105" s="299"/>
      <c r="C105" s="148">
        <v>3</v>
      </c>
      <c r="D105" s="117">
        <f>D104*0.8-0.02</f>
        <v>11.500000000000002</v>
      </c>
      <c r="E105" s="117">
        <f>E104*0.8+0.04</f>
        <v>18.200000000000003</v>
      </c>
      <c r="F105" s="121">
        <f>F104*0.8-0.04</f>
        <v>25.000000000000007</v>
      </c>
      <c r="G105" s="17"/>
      <c r="H105" s="17"/>
      <c r="K105" s="28"/>
      <c r="L105" s="28"/>
      <c r="M105" s="28"/>
    </row>
    <row r="106" spans="1:13" ht="15.75">
      <c r="A106" s="82">
        <v>42</v>
      </c>
      <c r="B106" s="297" t="s">
        <v>43</v>
      </c>
      <c r="C106" s="153">
        <v>1</v>
      </c>
      <c r="D106" s="152">
        <f>D107*1.2+0.02</f>
        <v>19.699999999999996</v>
      </c>
      <c r="E106" s="152">
        <f>E107*1.2+0.04</f>
        <v>29.799999999999997</v>
      </c>
      <c r="F106" s="146">
        <f>F107*1.2+0.02</f>
        <v>40.1</v>
      </c>
      <c r="G106" s="17"/>
      <c r="H106" s="17"/>
      <c r="K106" s="28"/>
      <c r="L106" s="28"/>
      <c r="M106" s="28"/>
    </row>
    <row r="107" spans="1:13" ht="15.75">
      <c r="A107" s="83">
        <v>43</v>
      </c>
      <c r="B107" s="298"/>
      <c r="C107" s="162">
        <v>2</v>
      </c>
      <c r="D107" s="116">
        <v>16.4</v>
      </c>
      <c r="E107" s="116">
        <f>23.6*1.05+0.02</f>
        <v>24.8</v>
      </c>
      <c r="F107" s="139">
        <f>31.8*1.05+0.01</f>
        <v>33.4</v>
      </c>
      <c r="G107" s="17"/>
      <c r="H107" s="17"/>
      <c r="K107" s="28"/>
      <c r="L107" s="28"/>
      <c r="M107" s="28"/>
    </row>
    <row r="108" spans="1:13" ht="16.5" thickBot="1">
      <c r="A108" s="84">
        <v>44</v>
      </c>
      <c r="B108" s="299"/>
      <c r="C108" s="148">
        <v>3</v>
      </c>
      <c r="D108" s="117">
        <f>D107*0.8-0.02</f>
        <v>13.1</v>
      </c>
      <c r="E108" s="117">
        <f>E107*0.8-0.04</f>
        <v>19.800000000000004</v>
      </c>
      <c r="F108" s="121">
        <f>F107*0.8-0.02</f>
        <v>26.7</v>
      </c>
      <c r="G108" s="17"/>
      <c r="H108" s="17"/>
      <c r="K108" s="28"/>
      <c r="L108" s="28"/>
      <c r="M108" s="28"/>
    </row>
    <row r="109" spans="1:13" ht="12.75">
      <c r="A109" s="380" t="s">
        <v>263</v>
      </c>
      <c r="B109" s="381"/>
      <c r="C109" s="381"/>
      <c r="D109" s="381"/>
      <c r="E109" s="381"/>
      <c r="F109" s="382"/>
      <c r="G109" s="17"/>
      <c r="H109" s="17"/>
      <c r="K109" s="28"/>
      <c r="L109" s="28"/>
      <c r="M109" s="28"/>
    </row>
    <row r="110" spans="1:13" ht="13.5">
      <c r="A110" s="300" t="s">
        <v>40</v>
      </c>
      <c r="B110" s="301"/>
      <c r="C110" s="301"/>
      <c r="D110" s="301"/>
      <c r="E110" s="301"/>
      <c r="F110" s="302"/>
      <c r="G110" s="17"/>
      <c r="H110" s="17"/>
      <c r="K110" s="28"/>
      <c r="L110" s="28"/>
      <c r="M110" s="28"/>
    </row>
    <row r="111" spans="1:13" ht="16.5" thickBot="1">
      <c r="A111" s="303" t="s">
        <v>262</v>
      </c>
      <c r="B111" s="304"/>
      <c r="C111" s="304"/>
      <c r="D111" s="304"/>
      <c r="E111" s="304"/>
      <c r="F111" s="305"/>
      <c r="G111" s="17"/>
      <c r="H111" s="17"/>
      <c r="K111" s="28"/>
      <c r="L111" s="28"/>
      <c r="M111" s="28"/>
    </row>
    <row r="112" spans="1:13" ht="15.75">
      <c r="A112" s="276">
        <v>45</v>
      </c>
      <c r="B112" s="295" t="s">
        <v>261</v>
      </c>
      <c r="C112" s="269">
        <v>2</v>
      </c>
      <c r="D112" s="219">
        <v>20.1</v>
      </c>
      <c r="E112" s="270">
        <v>30.2</v>
      </c>
      <c r="F112" s="219">
        <v>37</v>
      </c>
      <c r="G112" s="17"/>
      <c r="H112" s="17"/>
      <c r="K112" s="28"/>
      <c r="L112" s="28"/>
      <c r="M112" s="28"/>
    </row>
    <row r="113" spans="1:13" ht="16.5" thickBot="1">
      <c r="A113" s="277">
        <v>46</v>
      </c>
      <c r="B113" s="296"/>
      <c r="C113" s="267">
        <v>3</v>
      </c>
      <c r="D113" s="218">
        <f>D112*0.8+0.02</f>
        <v>16.1</v>
      </c>
      <c r="E113" s="268">
        <f>E112*0.8+0.04</f>
        <v>24.2</v>
      </c>
      <c r="F113" s="218">
        <f>F112*0.8</f>
        <v>29.6</v>
      </c>
      <c r="G113" s="17"/>
      <c r="H113" s="17"/>
      <c r="K113" s="28"/>
      <c r="L113" s="28"/>
      <c r="M113" s="28"/>
    </row>
    <row r="114" spans="1:13" ht="13.5">
      <c r="A114" s="300" t="s">
        <v>42</v>
      </c>
      <c r="B114" s="301"/>
      <c r="C114" s="301"/>
      <c r="D114" s="301"/>
      <c r="E114" s="301"/>
      <c r="F114" s="302"/>
      <c r="G114" s="17"/>
      <c r="H114" s="17"/>
      <c r="K114" s="28"/>
      <c r="L114" s="28"/>
      <c r="M114" s="28"/>
    </row>
    <row r="115" spans="1:13" ht="16.5" thickBot="1">
      <c r="A115" s="303" t="s">
        <v>262</v>
      </c>
      <c r="B115" s="304"/>
      <c r="C115" s="304"/>
      <c r="D115" s="304"/>
      <c r="E115" s="304"/>
      <c r="F115" s="305"/>
      <c r="G115" s="17"/>
      <c r="H115" s="17"/>
      <c r="K115" s="28"/>
      <c r="L115" s="28"/>
      <c r="M115" s="28"/>
    </row>
    <row r="116" spans="1:13" ht="15.75">
      <c r="A116" s="276">
        <v>47</v>
      </c>
      <c r="B116" s="295" t="s">
        <v>261</v>
      </c>
      <c r="C116" s="269">
        <v>2</v>
      </c>
      <c r="D116" s="219">
        <v>16.2</v>
      </c>
      <c r="E116" s="270">
        <v>23.4</v>
      </c>
      <c r="F116" s="219">
        <v>31.1</v>
      </c>
      <c r="G116" s="17"/>
      <c r="H116" s="17"/>
      <c r="K116" s="28"/>
      <c r="L116" s="28"/>
      <c r="M116" s="28"/>
    </row>
    <row r="117" spans="1:13" ht="16.5" thickBot="1">
      <c r="A117" s="277">
        <v>48</v>
      </c>
      <c r="B117" s="296"/>
      <c r="C117" s="267">
        <v>3</v>
      </c>
      <c r="D117" s="218">
        <f>D116*0.8+0.04</f>
        <v>13</v>
      </c>
      <c r="E117" s="268">
        <f>E116*0.8-0.02</f>
        <v>18.7</v>
      </c>
      <c r="F117" s="218">
        <f>F116*0.8+0.02</f>
        <v>24.900000000000002</v>
      </c>
      <c r="G117" s="17"/>
      <c r="H117" s="17"/>
      <c r="K117" s="28"/>
      <c r="L117" s="28"/>
      <c r="M117" s="28"/>
    </row>
    <row r="118" spans="1:13" ht="15.75">
      <c r="A118" s="346" t="s">
        <v>45</v>
      </c>
      <c r="B118" s="347"/>
      <c r="C118" s="347"/>
      <c r="D118" s="347"/>
      <c r="E118" s="347"/>
      <c r="F118" s="348"/>
      <c r="G118" s="17"/>
      <c r="H118" s="17"/>
      <c r="K118" s="28"/>
      <c r="L118" s="28"/>
      <c r="M118" s="28"/>
    </row>
    <row r="119" spans="1:13" ht="15.75">
      <c r="A119" s="326" t="s">
        <v>35</v>
      </c>
      <c r="B119" s="308"/>
      <c r="C119" s="308"/>
      <c r="D119" s="308"/>
      <c r="E119" s="308"/>
      <c r="F119" s="309"/>
      <c r="G119" s="17"/>
      <c r="H119" s="17"/>
      <c r="K119" s="28"/>
      <c r="L119" s="28"/>
      <c r="M119" s="28"/>
    </row>
    <row r="120" spans="1:13" ht="13.5">
      <c r="A120" s="300" t="s">
        <v>46</v>
      </c>
      <c r="B120" s="301"/>
      <c r="C120" s="301"/>
      <c r="D120" s="301"/>
      <c r="E120" s="301"/>
      <c r="F120" s="302"/>
      <c r="G120" s="17"/>
      <c r="H120" s="17"/>
      <c r="K120" s="28"/>
      <c r="L120" s="28"/>
      <c r="M120" s="28"/>
    </row>
    <row r="121" spans="1:13" ht="15" customHeight="1" thickBot="1">
      <c r="A121" s="375" t="s">
        <v>47</v>
      </c>
      <c r="B121" s="376"/>
      <c r="C121" s="376"/>
      <c r="D121" s="376"/>
      <c r="E121" s="376"/>
      <c r="F121" s="377"/>
      <c r="G121" s="17"/>
      <c r="H121" s="17"/>
      <c r="K121" s="28"/>
      <c r="L121" s="28"/>
      <c r="M121" s="28"/>
    </row>
    <row r="122" spans="1:13" ht="15.75">
      <c r="A122" s="85">
        <v>49</v>
      </c>
      <c r="B122" s="373" t="s">
        <v>48</v>
      </c>
      <c r="C122" s="147">
        <v>1</v>
      </c>
      <c r="D122" s="73">
        <f>D123*1.2</f>
        <v>52.199999999999996</v>
      </c>
      <c r="E122" s="73">
        <f>E123*1.2-0.04</f>
        <v>76.39999999999999</v>
      </c>
      <c r="F122" s="73">
        <f>F123*1.2+0.04</f>
        <v>90.4</v>
      </c>
      <c r="G122" s="17"/>
      <c r="H122" s="17"/>
      <c r="K122" s="28"/>
      <c r="L122" s="28"/>
      <c r="M122" s="28"/>
    </row>
    <row r="123" spans="1:13" ht="15" customHeight="1" thickBot="1">
      <c r="A123" s="84">
        <v>50</v>
      </c>
      <c r="B123" s="374"/>
      <c r="C123" s="163">
        <v>2</v>
      </c>
      <c r="D123" s="70">
        <v>43.5</v>
      </c>
      <c r="E123" s="70">
        <v>63.7</v>
      </c>
      <c r="F123" s="70">
        <v>75.3</v>
      </c>
      <c r="G123" s="17"/>
      <c r="H123" s="17"/>
      <c r="K123" s="28"/>
      <c r="L123" s="28"/>
      <c r="M123" s="28"/>
    </row>
    <row r="124" spans="1:13" ht="15.75">
      <c r="A124" s="332" t="s">
        <v>208</v>
      </c>
      <c r="B124" s="333"/>
      <c r="C124" s="333"/>
      <c r="D124" s="333"/>
      <c r="E124" s="333"/>
      <c r="F124" s="334"/>
      <c r="G124" s="17"/>
      <c r="H124" s="17"/>
      <c r="K124" s="28"/>
      <c r="L124" s="28"/>
      <c r="M124" s="28"/>
    </row>
    <row r="125" spans="1:13" ht="13.5">
      <c r="A125" s="300" t="s">
        <v>49</v>
      </c>
      <c r="B125" s="301"/>
      <c r="C125" s="301"/>
      <c r="D125" s="301"/>
      <c r="E125" s="301"/>
      <c r="F125" s="302"/>
      <c r="G125" s="17"/>
      <c r="H125" s="17"/>
      <c r="K125" s="28"/>
      <c r="L125" s="28"/>
      <c r="M125" s="28"/>
    </row>
    <row r="126" spans="1:13" ht="15" customHeight="1" thickBot="1">
      <c r="A126" s="303" t="s">
        <v>20</v>
      </c>
      <c r="B126" s="304"/>
      <c r="C126" s="304"/>
      <c r="D126" s="304"/>
      <c r="E126" s="304"/>
      <c r="F126" s="305"/>
      <c r="G126" s="17"/>
      <c r="H126" s="17"/>
      <c r="K126" s="28"/>
      <c r="L126" s="28"/>
      <c r="M126" s="28"/>
    </row>
    <row r="127" spans="1:13" ht="15.75">
      <c r="A127" s="85">
        <v>51</v>
      </c>
      <c r="B127" s="310" t="s">
        <v>50</v>
      </c>
      <c r="C127" s="147">
        <v>1</v>
      </c>
      <c r="D127" s="73">
        <f>D128*1.2</f>
        <v>56.4</v>
      </c>
      <c r="E127" s="73">
        <f>E128*1.2-0.03</f>
        <v>72.204</v>
      </c>
      <c r="F127" s="73">
        <f>F128*1.2-0.03</f>
        <v>89.604</v>
      </c>
      <c r="G127" s="17"/>
      <c r="H127" s="17"/>
      <c r="K127" s="28"/>
      <c r="L127" s="28"/>
      <c r="M127" s="28"/>
    </row>
    <row r="128" spans="1:13" ht="16.5" thickBot="1">
      <c r="A128" s="84">
        <v>52</v>
      </c>
      <c r="B128" s="299"/>
      <c r="C128" s="163">
        <v>2</v>
      </c>
      <c r="D128" s="70">
        <v>47</v>
      </c>
      <c r="E128" s="70">
        <f>57.3*1.05+0.03</f>
        <v>60.195</v>
      </c>
      <c r="F128" s="70">
        <f>71.1*1.05+0.04</f>
        <v>74.69500000000001</v>
      </c>
      <c r="G128" s="17"/>
      <c r="H128" s="17"/>
      <c r="K128" s="28"/>
      <c r="L128" s="28"/>
      <c r="M128" s="28"/>
    </row>
    <row r="129" spans="1:13" ht="15.75">
      <c r="A129" s="82">
        <v>53</v>
      </c>
      <c r="B129" s="297" t="s">
        <v>10</v>
      </c>
      <c r="C129" s="153">
        <v>1</v>
      </c>
      <c r="D129" s="71">
        <f>D130*1.2-0.04</f>
        <v>62.6</v>
      </c>
      <c r="E129" s="71">
        <f>E130*1.2+0.03</f>
        <v>80.30400000000002</v>
      </c>
      <c r="F129" s="71">
        <f>F130*1.2+0.03</f>
        <v>98.904</v>
      </c>
      <c r="G129" s="17"/>
      <c r="H129" s="17"/>
      <c r="K129" s="28"/>
      <c r="L129" s="28"/>
      <c r="M129" s="28"/>
    </row>
    <row r="130" spans="1:13" ht="16.5" thickBot="1">
      <c r="A130" s="84">
        <v>54</v>
      </c>
      <c r="B130" s="299"/>
      <c r="C130" s="163">
        <v>2</v>
      </c>
      <c r="D130" s="70">
        <v>52.2</v>
      </c>
      <c r="E130" s="70">
        <f>63.7*1.05+0.01</f>
        <v>66.89500000000001</v>
      </c>
      <c r="F130" s="70">
        <f>78.5*1.05-0.03</f>
        <v>82.395</v>
      </c>
      <c r="G130" s="17"/>
      <c r="H130" s="17"/>
      <c r="K130" s="28"/>
      <c r="L130" s="28"/>
      <c r="M130" s="28"/>
    </row>
    <row r="131" spans="1:13" ht="13.5">
      <c r="A131" s="370" t="s">
        <v>51</v>
      </c>
      <c r="B131" s="371"/>
      <c r="C131" s="371"/>
      <c r="D131" s="371"/>
      <c r="E131" s="371"/>
      <c r="F131" s="372"/>
      <c r="G131" s="17"/>
      <c r="H131" s="17"/>
      <c r="K131" s="28"/>
      <c r="L131" s="28"/>
      <c r="M131" s="28"/>
    </row>
    <row r="132" spans="1:13" ht="15" customHeight="1" thickBot="1">
      <c r="A132" s="303" t="s">
        <v>20</v>
      </c>
      <c r="B132" s="304"/>
      <c r="C132" s="304"/>
      <c r="D132" s="304"/>
      <c r="E132" s="304"/>
      <c r="F132" s="305"/>
      <c r="G132" s="17"/>
      <c r="H132" s="17"/>
      <c r="K132" s="28"/>
      <c r="L132" s="28"/>
      <c r="M132" s="28"/>
    </row>
    <row r="133" spans="1:13" ht="15.75">
      <c r="A133" s="85">
        <v>55</v>
      </c>
      <c r="B133" s="310" t="s">
        <v>50</v>
      </c>
      <c r="C133" s="147">
        <v>1</v>
      </c>
      <c r="D133" s="73">
        <f>D134*1.2-0.02</f>
        <v>22.900000000000002</v>
      </c>
      <c r="E133" s="73">
        <f>E134*1.2+0.01</f>
        <v>41.404</v>
      </c>
      <c r="F133" s="73">
        <f>F134*1.2-0.03</f>
        <v>50.004</v>
      </c>
      <c r="G133" s="17"/>
      <c r="H133" s="17"/>
      <c r="K133" s="28"/>
      <c r="L133" s="28"/>
      <c r="M133" s="28"/>
    </row>
    <row r="134" spans="1:13" ht="16.5" thickBot="1">
      <c r="A134" s="84">
        <v>56</v>
      </c>
      <c r="B134" s="299"/>
      <c r="C134" s="163">
        <v>2</v>
      </c>
      <c r="D134" s="70">
        <v>19.1</v>
      </c>
      <c r="E134" s="70">
        <f>32.9*1.05-0.05</f>
        <v>34.495000000000005</v>
      </c>
      <c r="F134" s="70">
        <f>39.7*1.05+0.01</f>
        <v>41.695</v>
      </c>
      <c r="G134" s="17"/>
      <c r="H134" s="17"/>
      <c r="K134" s="28"/>
      <c r="L134" s="28"/>
      <c r="M134" s="28"/>
    </row>
    <row r="135" spans="1:13" ht="15.75">
      <c r="A135" s="82">
        <v>57</v>
      </c>
      <c r="B135" s="297" t="s">
        <v>10</v>
      </c>
      <c r="C135" s="153">
        <v>1</v>
      </c>
      <c r="D135" s="71">
        <f>D136*1.2-0.02</f>
        <v>24.700000000000003</v>
      </c>
      <c r="E135" s="71">
        <f>E136*1.2+0.04</f>
        <v>44.199999999999996</v>
      </c>
      <c r="F135" s="71">
        <f>F136*1.2</f>
        <v>53.4</v>
      </c>
      <c r="G135" s="17"/>
      <c r="H135" s="17"/>
      <c r="K135" s="28"/>
      <c r="L135" s="28"/>
      <c r="M135" s="28"/>
    </row>
    <row r="136" spans="1:13" ht="15" customHeight="1" thickBot="1">
      <c r="A136" s="84">
        <v>58</v>
      </c>
      <c r="B136" s="299"/>
      <c r="C136" s="163">
        <v>2</v>
      </c>
      <c r="D136" s="70">
        <v>20.6</v>
      </c>
      <c r="E136" s="70">
        <f>35*1.05+0.05</f>
        <v>36.8</v>
      </c>
      <c r="F136" s="70">
        <f>42.4*1.05-0.02</f>
        <v>44.5</v>
      </c>
      <c r="G136" s="17"/>
      <c r="H136" s="17"/>
      <c r="K136" s="28"/>
      <c r="L136" s="28"/>
      <c r="M136" s="28"/>
    </row>
    <row r="137" spans="1:13" ht="15.75">
      <c r="A137" s="332" t="s">
        <v>209</v>
      </c>
      <c r="B137" s="333"/>
      <c r="C137" s="333"/>
      <c r="D137" s="333"/>
      <c r="E137" s="333"/>
      <c r="F137" s="334"/>
      <c r="G137" s="17"/>
      <c r="H137" s="17"/>
      <c r="K137" s="28"/>
      <c r="L137" s="28"/>
      <c r="M137" s="28"/>
    </row>
    <row r="138" spans="1:13" ht="13.5">
      <c r="A138" s="300" t="s">
        <v>52</v>
      </c>
      <c r="B138" s="301"/>
      <c r="C138" s="301"/>
      <c r="D138" s="301"/>
      <c r="E138" s="301"/>
      <c r="F138" s="302"/>
      <c r="G138" s="17"/>
      <c r="H138" s="17"/>
      <c r="K138" s="28"/>
      <c r="L138" s="28"/>
      <c r="M138" s="28"/>
    </row>
    <row r="139" spans="1:13" ht="15" customHeight="1" thickBot="1">
      <c r="A139" s="303" t="s">
        <v>53</v>
      </c>
      <c r="B139" s="304"/>
      <c r="C139" s="304"/>
      <c r="D139" s="304"/>
      <c r="E139" s="304"/>
      <c r="F139" s="305"/>
      <c r="G139" s="17"/>
      <c r="H139" s="17"/>
      <c r="K139" s="28"/>
      <c r="L139" s="28"/>
      <c r="M139" s="28"/>
    </row>
    <row r="140" spans="1:13" ht="15.75">
      <c r="A140" s="85">
        <v>59</v>
      </c>
      <c r="B140" s="310" t="s">
        <v>50</v>
      </c>
      <c r="C140" s="147">
        <v>1</v>
      </c>
      <c r="D140" s="73">
        <f>D141*1.2-0.02</f>
        <v>24.1</v>
      </c>
      <c r="E140" s="73">
        <f>E141*1.2+0.04</f>
        <v>38.800000000000004</v>
      </c>
      <c r="F140" s="73">
        <f>F141*1.2-0.04</f>
        <v>50.60000000000001</v>
      </c>
      <c r="G140" s="17"/>
      <c r="H140" s="17"/>
      <c r="K140" s="28"/>
      <c r="L140" s="28"/>
      <c r="M140" s="28"/>
    </row>
    <row r="141" spans="1:13" ht="16.5" thickBot="1">
      <c r="A141" s="84">
        <v>60</v>
      </c>
      <c r="B141" s="299"/>
      <c r="C141" s="163">
        <v>2</v>
      </c>
      <c r="D141" s="70">
        <v>20.1</v>
      </c>
      <c r="E141" s="70">
        <f>30.8*1.05-0.04</f>
        <v>32.300000000000004</v>
      </c>
      <c r="F141" s="70">
        <f>40.2*1.05-0.01</f>
        <v>42.20000000000001</v>
      </c>
      <c r="G141" s="17"/>
      <c r="H141" s="17"/>
      <c r="K141" s="28"/>
      <c r="L141" s="28"/>
      <c r="M141" s="28"/>
    </row>
    <row r="142" spans="1:13" ht="15.75">
      <c r="A142" s="82">
        <v>61</v>
      </c>
      <c r="B142" s="297" t="s">
        <v>10</v>
      </c>
      <c r="C142" s="153">
        <v>1</v>
      </c>
      <c r="D142" s="71">
        <f>D143*1.2+0.04</f>
        <v>26.8</v>
      </c>
      <c r="E142" s="71">
        <f>E143*1.2-0.02</f>
        <v>42.099999999999994</v>
      </c>
      <c r="F142" s="71">
        <f>F143*1.2-0.02</f>
        <v>54.699999999999996</v>
      </c>
      <c r="G142" s="17"/>
      <c r="H142" s="17"/>
      <c r="K142" s="28"/>
      <c r="L142" s="28"/>
      <c r="M142" s="28"/>
    </row>
    <row r="143" spans="1:13" ht="16.5" thickBot="1">
      <c r="A143" s="84">
        <v>62</v>
      </c>
      <c r="B143" s="299"/>
      <c r="C143" s="163">
        <v>2</v>
      </c>
      <c r="D143" s="70">
        <v>22.3</v>
      </c>
      <c r="E143" s="70">
        <f>33.4*1.05+0.03</f>
        <v>35.1</v>
      </c>
      <c r="F143" s="70">
        <f>43.4*1.05+0.03</f>
        <v>45.6</v>
      </c>
      <c r="G143" s="17"/>
      <c r="H143" s="17"/>
      <c r="K143" s="28"/>
      <c r="L143" s="28"/>
      <c r="M143" s="28"/>
    </row>
    <row r="144" spans="1:13" ht="15.75">
      <c r="A144" s="311" t="s">
        <v>210</v>
      </c>
      <c r="B144" s="312"/>
      <c r="C144" s="312"/>
      <c r="D144" s="312"/>
      <c r="E144" s="312"/>
      <c r="F144" s="313"/>
      <c r="G144" s="17"/>
      <c r="H144" s="17"/>
      <c r="K144" s="28"/>
      <c r="L144" s="28"/>
      <c r="M144" s="28"/>
    </row>
    <row r="145" spans="1:13" ht="13.5">
      <c r="A145" s="300" t="s">
        <v>46</v>
      </c>
      <c r="B145" s="301"/>
      <c r="C145" s="301"/>
      <c r="D145" s="301"/>
      <c r="E145" s="301"/>
      <c r="F145" s="302"/>
      <c r="G145" s="17"/>
      <c r="H145" s="17"/>
      <c r="K145" s="28"/>
      <c r="L145" s="28"/>
      <c r="M145" s="28"/>
    </row>
    <row r="146" spans="1:13" ht="15.75" customHeight="1" thickBot="1">
      <c r="A146" s="303" t="s">
        <v>22</v>
      </c>
      <c r="B146" s="304"/>
      <c r="C146" s="304"/>
      <c r="D146" s="304"/>
      <c r="E146" s="304"/>
      <c r="F146" s="305"/>
      <c r="G146" s="17"/>
      <c r="H146" s="17"/>
      <c r="K146" s="28"/>
      <c r="L146" s="28"/>
      <c r="M146" s="28"/>
    </row>
    <row r="147" spans="1:13" ht="15.75">
      <c r="A147" s="85">
        <v>63</v>
      </c>
      <c r="B147" s="134" t="s">
        <v>23</v>
      </c>
      <c r="C147" s="147" t="s">
        <v>54</v>
      </c>
      <c r="D147" s="91">
        <v>12.2</v>
      </c>
      <c r="E147" s="91">
        <f>24.4*1.05-0.02</f>
        <v>25.6</v>
      </c>
      <c r="F147" s="91">
        <f>33.9*1.05</f>
        <v>35.595</v>
      </c>
      <c r="G147" s="17"/>
      <c r="H147" s="17"/>
      <c r="K147" s="28"/>
      <c r="L147" s="28"/>
      <c r="M147" s="28"/>
    </row>
    <row r="148" spans="1:13" ht="16.5" thickBot="1">
      <c r="A148" s="84">
        <v>64</v>
      </c>
      <c r="B148" s="142" t="s">
        <v>55</v>
      </c>
      <c r="C148" s="148">
        <v>3</v>
      </c>
      <c r="D148" s="69">
        <v>10.5</v>
      </c>
      <c r="E148" s="69">
        <f>21.6*1.05+0.02</f>
        <v>22.700000000000003</v>
      </c>
      <c r="F148" s="69">
        <f>30.2*1.05-0.01</f>
        <v>31.7</v>
      </c>
      <c r="G148" s="17"/>
      <c r="H148" s="17"/>
      <c r="K148" s="28"/>
      <c r="L148" s="28"/>
      <c r="M148" s="28"/>
    </row>
    <row r="149" spans="1:13" ht="15.75">
      <c r="A149" s="311" t="s">
        <v>56</v>
      </c>
      <c r="B149" s="312"/>
      <c r="C149" s="312"/>
      <c r="D149" s="312"/>
      <c r="E149" s="312"/>
      <c r="F149" s="313"/>
      <c r="G149" s="17"/>
      <c r="H149" s="17"/>
      <c r="K149" s="28"/>
      <c r="L149" s="28"/>
      <c r="M149" s="28"/>
    </row>
    <row r="150" spans="1:13" ht="15.75">
      <c r="A150" s="326" t="s">
        <v>25</v>
      </c>
      <c r="B150" s="308"/>
      <c r="C150" s="308"/>
      <c r="D150" s="308"/>
      <c r="E150" s="308"/>
      <c r="F150" s="309"/>
      <c r="G150" s="17"/>
      <c r="H150" s="17"/>
      <c r="K150" s="28"/>
      <c r="L150" s="28"/>
      <c r="M150" s="28"/>
    </row>
    <row r="151" spans="1:13" ht="15.75">
      <c r="A151" s="327" t="s">
        <v>26</v>
      </c>
      <c r="B151" s="328"/>
      <c r="C151" s="328"/>
      <c r="D151" s="328"/>
      <c r="E151" s="328"/>
      <c r="F151" s="329"/>
      <c r="G151" s="17"/>
      <c r="H151" s="17"/>
      <c r="K151" s="28"/>
      <c r="L151" s="28"/>
      <c r="M151" s="28"/>
    </row>
    <row r="152" spans="1:13" ht="13.5">
      <c r="A152" s="300" t="s">
        <v>40</v>
      </c>
      <c r="B152" s="301"/>
      <c r="C152" s="301"/>
      <c r="D152" s="301"/>
      <c r="E152" s="301"/>
      <c r="F152" s="302"/>
      <c r="G152" s="17"/>
      <c r="H152" s="17"/>
      <c r="K152" s="28"/>
      <c r="L152" s="28"/>
      <c r="M152" s="28"/>
    </row>
    <row r="153" spans="1:13" ht="16.5" thickBot="1">
      <c r="A153" s="303" t="s">
        <v>57</v>
      </c>
      <c r="B153" s="304"/>
      <c r="C153" s="304"/>
      <c r="D153" s="304"/>
      <c r="E153" s="304"/>
      <c r="F153" s="305"/>
      <c r="G153" s="17"/>
      <c r="H153" s="17"/>
      <c r="K153" s="28"/>
      <c r="L153" s="28"/>
      <c r="M153" s="28"/>
    </row>
    <row r="154" spans="1:13" ht="16.5" thickBot="1">
      <c r="A154" s="57">
        <v>65</v>
      </c>
      <c r="B154" s="58" t="s">
        <v>58</v>
      </c>
      <c r="C154" s="164">
        <v>2</v>
      </c>
      <c r="D154" s="90">
        <v>18.5</v>
      </c>
      <c r="E154" s="90">
        <f>30.2*1.05-0.01</f>
        <v>31.7</v>
      </c>
      <c r="F154" s="90">
        <f>40.8*1.05-0.04</f>
        <v>42.8</v>
      </c>
      <c r="G154" s="17"/>
      <c r="H154" s="17"/>
      <c r="K154" s="28"/>
      <c r="L154" s="28"/>
      <c r="M154" s="28"/>
    </row>
    <row r="155" spans="1:13" ht="14.25" thickBot="1">
      <c r="A155" s="300" t="s">
        <v>42</v>
      </c>
      <c r="B155" s="301"/>
      <c r="C155" s="301"/>
      <c r="D155" s="301"/>
      <c r="E155" s="301"/>
      <c r="F155" s="302"/>
      <c r="G155" s="17"/>
      <c r="H155" s="17"/>
      <c r="I155" t="s">
        <v>178</v>
      </c>
      <c r="K155" s="28"/>
      <c r="L155" s="28"/>
      <c r="M155" s="28"/>
    </row>
    <row r="156" spans="1:13" ht="16.5" thickBot="1">
      <c r="A156" s="57">
        <v>66</v>
      </c>
      <c r="B156" s="58" t="s">
        <v>58</v>
      </c>
      <c r="C156" s="164">
        <v>2</v>
      </c>
      <c r="D156" s="90">
        <v>15.9</v>
      </c>
      <c r="E156" s="90">
        <f>26*1.05</f>
        <v>27.3</v>
      </c>
      <c r="F156" s="90">
        <f>32.9*1.05-0.05</f>
        <v>34.495000000000005</v>
      </c>
      <c r="G156" s="17"/>
      <c r="H156" s="17"/>
      <c r="K156" s="28"/>
      <c r="L156" s="28"/>
      <c r="M156" s="28"/>
    </row>
    <row r="157" spans="1:13" ht="15.75">
      <c r="A157" s="9"/>
      <c r="B157" s="10"/>
      <c r="C157" s="9"/>
      <c r="D157" s="13"/>
      <c r="E157" s="13"/>
      <c r="F157" s="13"/>
      <c r="G157" s="17"/>
      <c r="H157" s="17"/>
      <c r="K157" s="28"/>
      <c r="L157" s="28"/>
      <c r="M157" s="28"/>
    </row>
    <row r="158" spans="1:13" ht="15.75">
      <c r="A158" s="378" t="s">
        <v>60</v>
      </c>
      <c r="B158" s="378"/>
      <c r="C158" s="378"/>
      <c r="D158" s="378"/>
      <c r="E158" s="378"/>
      <c r="F158" s="378"/>
      <c r="G158" s="17"/>
      <c r="H158" s="17"/>
      <c r="K158" s="28"/>
      <c r="L158" s="28"/>
      <c r="M158" s="28"/>
    </row>
    <row r="159" spans="1:13" ht="16.5" thickBot="1">
      <c r="A159" s="341" t="s">
        <v>39</v>
      </c>
      <c r="B159" s="341"/>
      <c r="C159" s="341"/>
      <c r="D159" s="341"/>
      <c r="E159" s="341"/>
      <c r="F159" s="341"/>
      <c r="G159" s="17"/>
      <c r="H159" s="17"/>
      <c r="K159" s="28"/>
      <c r="L159" s="28"/>
      <c r="M159" s="28"/>
    </row>
    <row r="160" spans="1:13" ht="13.5" thickBot="1">
      <c r="A160" s="353" t="s">
        <v>3</v>
      </c>
      <c r="B160" s="342" t="s">
        <v>4</v>
      </c>
      <c r="C160" s="383" t="s">
        <v>5</v>
      </c>
      <c r="D160" s="323" t="s">
        <v>6</v>
      </c>
      <c r="E160" s="323"/>
      <c r="F160" s="324"/>
      <c r="G160" s="17"/>
      <c r="H160" s="17"/>
      <c r="K160" s="28"/>
      <c r="L160" s="28"/>
      <c r="M160" s="28"/>
    </row>
    <row r="161" spans="1:13" ht="32.25" customHeight="1" thickBot="1">
      <c r="A161" s="354"/>
      <c r="B161" s="350"/>
      <c r="C161" s="398"/>
      <c r="D161" s="107" t="s">
        <v>102</v>
      </c>
      <c r="E161" s="107" t="s">
        <v>103</v>
      </c>
      <c r="F161" s="124" t="s">
        <v>104</v>
      </c>
      <c r="G161" s="17"/>
      <c r="H161" s="17"/>
      <c r="K161" s="28"/>
      <c r="L161" s="28"/>
      <c r="M161" s="28"/>
    </row>
    <row r="162" spans="1:13" ht="15.75">
      <c r="A162" s="311" t="s">
        <v>61</v>
      </c>
      <c r="B162" s="312"/>
      <c r="C162" s="312"/>
      <c r="D162" s="312"/>
      <c r="E162" s="312"/>
      <c r="F162" s="313"/>
      <c r="G162" s="17"/>
      <c r="H162" s="17"/>
      <c r="K162" s="28"/>
      <c r="L162" s="28"/>
      <c r="M162" s="28"/>
    </row>
    <row r="163" spans="1:13" ht="15.75">
      <c r="A163" s="326" t="s">
        <v>44</v>
      </c>
      <c r="B163" s="308"/>
      <c r="C163" s="308"/>
      <c r="D163" s="308"/>
      <c r="E163" s="308"/>
      <c r="F163" s="309"/>
      <c r="G163" s="17"/>
      <c r="H163" s="17"/>
      <c r="K163" s="28"/>
      <c r="L163" s="28"/>
      <c r="M163" s="28"/>
    </row>
    <row r="164" spans="1:13" ht="13.5">
      <c r="A164" s="300" t="s">
        <v>62</v>
      </c>
      <c r="B164" s="301"/>
      <c r="C164" s="301"/>
      <c r="D164" s="301"/>
      <c r="E164" s="301"/>
      <c r="F164" s="302"/>
      <c r="G164" s="17"/>
      <c r="H164" s="17"/>
      <c r="K164" s="28"/>
      <c r="L164" s="28"/>
      <c r="M164" s="28"/>
    </row>
    <row r="165" spans="1:13" ht="16.5" thickBot="1">
      <c r="A165" s="375" t="s">
        <v>66</v>
      </c>
      <c r="B165" s="376"/>
      <c r="C165" s="376"/>
      <c r="D165" s="376"/>
      <c r="E165" s="376"/>
      <c r="F165" s="377"/>
      <c r="G165" s="17"/>
      <c r="H165" s="17"/>
      <c r="K165" s="28"/>
      <c r="L165" s="28"/>
      <c r="M165" s="28"/>
    </row>
    <row r="166" spans="1:13" ht="31.5" customHeight="1" hidden="1" thickBot="1">
      <c r="A166" s="79"/>
      <c r="B166" s="80"/>
      <c r="C166" s="80"/>
      <c r="D166" s="229" t="s">
        <v>251</v>
      </c>
      <c r="E166" s="229" t="s">
        <v>252</v>
      </c>
      <c r="F166" s="95" t="s">
        <v>251</v>
      </c>
      <c r="G166" s="17"/>
      <c r="H166" s="17"/>
      <c r="K166" s="28"/>
      <c r="L166" s="28"/>
      <c r="M166" s="28"/>
    </row>
    <row r="167" spans="1:13" ht="15" customHeight="1">
      <c r="A167" s="85">
        <v>67</v>
      </c>
      <c r="B167" s="310" t="s">
        <v>7</v>
      </c>
      <c r="C167" s="89">
        <v>1</v>
      </c>
      <c r="D167" s="119">
        <f>D168*1.2-0.04</f>
        <v>46.400000000000006</v>
      </c>
      <c r="E167" s="103">
        <f>E168*1.2-0.03</f>
        <v>72.204</v>
      </c>
      <c r="F167" s="119">
        <f>F168*1.2-0.02</f>
        <v>88.89999999999999</v>
      </c>
      <c r="G167" s="17"/>
      <c r="H167" s="17"/>
      <c r="K167" s="28"/>
      <c r="L167" s="28"/>
      <c r="M167" s="28"/>
    </row>
    <row r="168" spans="1:13" ht="15.75">
      <c r="A168" s="83">
        <v>68</v>
      </c>
      <c r="B168" s="298"/>
      <c r="C168" s="159">
        <v>2</v>
      </c>
      <c r="D168" s="139">
        <v>38.7</v>
      </c>
      <c r="E168" s="76">
        <f>57.3*1.05+0.03</f>
        <v>60.195</v>
      </c>
      <c r="F168" s="139">
        <f>70.6*1.05-0.03</f>
        <v>74.1</v>
      </c>
      <c r="G168" s="17"/>
      <c r="H168" s="17"/>
      <c r="K168" s="28"/>
      <c r="L168" s="28"/>
      <c r="M168" s="28"/>
    </row>
    <row r="169" spans="1:13" ht="16.5" thickBot="1">
      <c r="A169" s="84">
        <v>69</v>
      </c>
      <c r="B169" s="299"/>
      <c r="C169" s="88">
        <v>3</v>
      </c>
      <c r="D169" s="121">
        <f>D168*0.8+0.04</f>
        <v>31.000000000000004</v>
      </c>
      <c r="E169" s="77">
        <f>E168*0.8+0.04</f>
        <v>48.196000000000005</v>
      </c>
      <c r="F169" s="121">
        <f>F168*0.8+0.02</f>
        <v>59.300000000000004</v>
      </c>
      <c r="G169" s="17"/>
      <c r="H169" s="17"/>
      <c r="K169" s="28"/>
      <c r="L169" s="28"/>
      <c r="M169" s="28"/>
    </row>
    <row r="170" spans="1:13" ht="15.75">
      <c r="A170" s="85">
        <v>70</v>
      </c>
      <c r="B170" s="310" t="s">
        <v>41</v>
      </c>
      <c r="C170" s="89">
        <v>1</v>
      </c>
      <c r="D170" s="119">
        <f>D171*1.2+0.04</f>
        <v>68.8</v>
      </c>
      <c r="E170" s="103">
        <f>E171*1.2-0.02</f>
        <v>106.30000000000001</v>
      </c>
      <c r="F170" s="119">
        <f>F171*1.2+0.02</f>
        <v>133.1</v>
      </c>
      <c r="G170" s="17"/>
      <c r="H170" s="17"/>
      <c r="K170" s="28"/>
      <c r="L170" s="28"/>
      <c r="M170" s="28"/>
    </row>
    <row r="171" spans="1:13" ht="15.75">
      <c r="A171" s="83">
        <v>71</v>
      </c>
      <c r="B171" s="298"/>
      <c r="C171" s="159">
        <v>2</v>
      </c>
      <c r="D171" s="139">
        <v>57.3</v>
      </c>
      <c r="E171" s="76">
        <f>84.4*1.05-0.02</f>
        <v>88.60000000000001</v>
      </c>
      <c r="F171" s="139">
        <f>105.6*1.05+0.02</f>
        <v>110.89999999999999</v>
      </c>
      <c r="G171" s="17"/>
      <c r="H171" s="17"/>
      <c r="K171" s="28"/>
      <c r="L171" s="28"/>
      <c r="M171" s="28"/>
    </row>
    <row r="172" spans="1:13" ht="16.5" thickBot="1">
      <c r="A172" s="84">
        <v>72</v>
      </c>
      <c r="B172" s="299"/>
      <c r="C172" s="88">
        <v>3</v>
      </c>
      <c r="D172" s="121">
        <f>D171*0.8-0.04</f>
        <v>45.800000000000004</v>
      </c>
      <c r="E172" s="77">
        <f>E171*0.8+0.02</f>
        <v>70.9</v>
      </c>
      <c r="F172" s="121">
        <f>F171*0.8-0.02</f>
        <v>88.7</v>
      </c>
      <c r="G172" s="17"/>
      <c r="H172" s="17"/>
      <c r="K172" s="28"/>
      <c r="L172" s="28"/>
      <c r="M172" s="28"/>
    </row>
    <row r="173" spans="1:13" ht="15.75">
      <c r="A173" s="85">
        <v>73</v>
      </c>
      <c r="B173" s="310" t="s">
        <v>63</v>
      </c>
      <c r="C173" s="89">
        <v>1</v>
      </c>
      <c r="D173" s="119">
        <f>D174*1.2</f>
        <v>104.39999999999999</v>
      </c>
      <c r="E173" s="103">
        <f>E174*1.2-0.02</f>
        <v>154.89999999999998</v>
      </c>
      <c r="F173" s="119">
        <f>F174*1.2+0.04</f>
        <v>184</v>
      </c>
      <c r="G173" s="17"/>
      <c r="H173" s="17"/>
      <c r="K173" s="28"/>
      <c r="L173" s="28"/>
      <c r="M173" s="28"/>
    </row>
    <row r="174" spans="1:13" ht="15.75">
      <c r="A174" s="83">
        <v>74</v>
      </c>
      <c r="B174" s="298"/>
      <c r="C174" s="159">
        <v>2</v>
      </c>
      <c r="D174" s="139">
        <v>87</v>
      </c>
      <c r="E174" s="76">
        <f>123*1.05-0.05</f>
        <v>129.1</v>
      </c>
      <c r="F174" s="139">
        <f>146*1.05</f>
        <v>153.3</v>
      </c>
      <c r="G174" s="17"/>
      <c r="H174" s="17"/>
      <c r="K174" s="28"/>
      <c r="L174" s="28"/>
      <c r="M174" s="28"/>
    </row>
    <row r="175" spans="1:13" ht="16.5" thickBot="1">
      <c r="A175" s="84">
        <v>75</v>
      </c>
      <c r="B175" s="299"/>
      <c r="C175" s="88">
        <v>3</v>
      </c>
      <c r="D175" s="121">
        <f>D174*0.8</f>
        <v>69.60000000000001</v>
      </c>
      <c r="E175" s="77">
        <f>E174*0.8+0.02</f>
        <v>103.3</v>
      </c>
      <c r="F175" s="121">
        <f>F174*0.8-0.04</f>
        <v>122.60000000000001</v>
      </c>
      <c r="G175" s="17"/>
      <c r="H175" s="17"/>
      <c r="K175" s="28"/>
      <c r="L175" s="28"/>
      <c r="M175" s="28"/>
    </row>
    <row r="176" spans="1:13" ht="15.75">
      <c r="A176" s="82">
        <v>76</v>
      </c>
      <c r="B176" s="297" t="s">
        <v>64</v>
      </c>
      <c r="C176" s="86">
        <v>1</v>
      </c>
      <c r="D176" s="146">
        <f>D177*1.2+0.02</f>
        <v>111.5</v>
      </c>
      <c r="E176" s="78">
        <f>E177*1.2-0.02</f>
        <v>166.29999999999998</v>
      </c>
      <c r="F176" s="146">
        <f>F177*1.2+0.02</f>
        <v>199.10000000000002</v>
      </c>
      <c r="G176" s="17"/>
      <c r="H176" s="17"/>
      <c r="K176" s="28"/>
      <c r="L176" s="28"/>
      <c r="M176" s="28"/>
    </row>
    <row r="177" spans="1:13" ht="15.75">
      <c r="A177" s="83">
        <v>77</v>
      </c>
      <c r="B177" s="298"/>
      <c r="C177" s="159">
        <v>2</v>
      </c>
      <c r="D177" s="139">
        <v>92.9</v>
      </c>
      <c r="E177" s="76">
        <f>132*1.05</f>
        <v>138.6</v>
      </c>
      <c r="F177" s="139">
        <f>158*1.05</f>
        <v>165.9</v>
      </c>
      <c r="G177" s="17"/>
      <c r="H177" s="17"/>
      <c r="K177" s="28"/>
      <c r="L177" s="28"/>
      <c r="M177" s="28"/>
    </row>
    <row r="178" spans="1:13" ht="16.5" thickBot="1">
      <c r="A178" s="84">
        <v>78</v>
      </c>
      <c r="B178" s="299"/>
      <c r="C178" s="88">
        <v>3</v>
      </c>
      <c r="D178" s="121">
        <f>D177*0.8-0.02</f>
        <v>74.30000000000001</v>
      </c>
      <c r="E178" s="77">
        <f>E177*0.8+0.02</f>
        <v>110.89999999999999</v>
      </c>
      <c r="F178" s="121">
        <f>F177*0.8-0.02</f>
        <v>132.7</v>
      </c>
      <c r="G178" s="17"/>
      <c r="H178" s="17"/>
      <c r="K178" s="28"/>
      <c r="L178" s="28"/>
      <c r="M178" s="28"/>
    </row>
    <row r="179" spans="1:13" ht="15.75">
      <c r="A179" s="311" t="s">
        <v>65</v>
      </c>
      <c r="B179" s="351"/>
      <c r="C179" s="351"/>
      <c r="D179" s="351"/>
      <c r="E179" s="351"/>
      <c r="F179" s="352"/>
      <c r="G179" s="17"/>
      <c r="H179" s="17"/>
      <c r="K179" s="28"/>
      <c r="L179" s="28"/>
      <c r="M179" s="28"/>
    </row>
    <row r="180" spans="1:13" ht="15.75">
      <c r="A180" s="326" t="s">
        <v>16</v>
      </c>
      <c r="B180" s="394"/>
      <c r="C180" s="394"/>
      <c r="D180" s="394"/>
      <c r="E180" s="394"/>
      <c r="F180" s="395"/>
      <c r="G180" s="17"/>
      <c r="H180" s="17"/>
      <c r="K180" s="28"/>
      <c r="L180" s="28"/>
      <c r="M180" s="28"/>
    </row>
    <row r="181" spans="1:13" ht="13.5">
      <c r="A181" s="300" t="s">
        <v>62</v>
      </c>
      <c r="B181" s="394"/>
      <c r="C181" s="394"/>
      <c r="D181" s="394"/>
      <c r="E181" s="394"/>
      <c r="F181" s="395"/>
      <c r="G181" s="17"/>
      <c r="H181" s="17"/>
      <c r="K181" s="28"/>
      <c r="L181" s="28"/>
      <c r="M181" s="28"/>
    </row>
    <row r="182" spans="1:13" ht="16.5" thickBot="1">
      <c r="A182" s="303" t="s">
        <v>47</v>
      </c>
      <c r="B182" s="394"/>
      <c r="C182" s="394"/>
      <c r="D182" s="394"/>
      <c r="E182" s="394"/>
      <c r="F182" s="395"/>
      <c r="G182" s="17"/>
      <c r="H182" s="17"/>
      <c r="K182" s="28"/>
      <c r="L182" s="28"/>
      <c r="M182" s="28"/>
    </row>
    <row r="183" spans="1:13" ht="15" customHeight="1">
      <c r="A183" s="85">
        <v>79</v>
      </c>
      <c r="B183" s="373" t="s">
        <v>67</v>
      </c>
      <c r="C183" s="147">
        <v>1</v>
      </c>
      <c r="D183" s="73">
        <f>D184*1.2</f>
        <v>158.4</v>
      </c>
      <c r="E183" s="73">
        <f>E184*1.2</f>
        <v>228</v>
      </c>
      <c r="F183" s="73">
        <f>F184*1.2</f>
        <v>264.59999999999997</v>
      </c>
      <c r="G183" s="17"/>
      <c r="H183" s="17"/>
      <c r="K183" s="28"/>
      <c r="L183" s="28"/>
      <c r="M183" s="28"/>
    </row>
    <row r="184" spans="1:13" ht="16.5" thickBot="1">
      <c r="A184" s="84">
        <v>80</v>
      </c>
      <c r="B184" s="390"/>
      <c r="C184" s="163">
        <v>2</v>
      </c>
      <c r="D184" s="70">
        <v>132</v>
      </c>
      <c r="E184" s="70">
        <f>181*1.05-0.05</f>
        <v>190</v>
      </c>
      <c r="F184" s="70">
        <f>210*1.05</f>
        <v>220.5</v>
      </c>
      <c r="G184" s="17"/>
      <c r="H184" s="17"/>
      <c r="I184" t="s">
        <v>178</v>
      </c>
      <c r="K184" s="28"/>
      <c r="L184" s="28"/>
      <c r="M184" s="28"/>
    </row>
    <row r="185" spans="1:13" ht="15.75">
      <c r="A185" s="82">
        <v>81</v>
      </c>
      <c r="B185" s="389" t="s">
        <v>64</v>
      </c>
      <c r="C185" s="153">
        <v>1</v>
      </c>
      <c r="D185" s="71">
        <f>D186*1.2</f>
        <v>171.6</v>
      </c>
      <c r="E185" s="71">
        <f>E186*1.2+0.02</f>
        <v>250.70000000000002</v>
      </c>
      <c r="F185" s="71">
        <f>F186*1.2+0.02</f>
        <v>288.5</v>
      </c>
      <c r="G185" s="17"/>
      <c r="H185" s="17"/>
      <c r="K185" s="28"/>
      <c r="L185" s="28"/>
      <c r="M185" s="28"/>
    </row>
    <row r="186" spans="1:13" ht="16.5" thickBot="1">
      <c r="A186" s="84">
        <v>82</v>
      </c>
      <c r="B186" s="390"/>
      <c r="C186" s="163">
        <v>2</v>
      </c>
      <c r="D186" s="70">
        <v>143</v>
      </c>
      <c r="E186" s="70">
        <f>199*1.05-0.05</f>
        <v>208.9</v>
      </c>
      <c r="F186" s="70">
        <f>229*1.05-0.05</f>
        <v>240.4</v>
      </c>
      <c r="G186" s="17"/>
      <c r="H186" s="17"/>
      <c r="K186" s="28"/>
      <c r="L186" s="28"/>
      <c r="M186" s="28"/>
    </row>
    <row r="187" spans="1:13" ht="15.75">
      <c r="A187" s="311" t="s">
        <v>68</v>
      </c>
      <c r="B187" s="312"/>
      <c r="C187" s="312"/>
      <c r="D187" s="312"/>
      <c r="E187" s="312"/>
      <c r="F187" s="313"/>
      <c r="G187" s="17"/>
      <c r="H187" s="17"/>
      <c r="K187" s="28"/>
      <c r="L187" s="28"/>
      <c r="M187" s="28"/>
    </row>
    <row r="188" spans="1:13" ht="15.75">
      <c r="A188" s="326" t="s">
        <v>25</v>
      </c>
      <c r="B188" s="308"/>
      <c r="C188" s="308"/>
      <c r="D188" s="308"/>
      <c r="E188" s="308"/>
      <c r="F188" s="309"/>
      <c r="G188" s="17"/>
      <c r="H188" s="17"/>
      <c r="K188" s="28"/>
      <c r="L188" s="28"/>
      <c r="M188" s="28"/>
    </row>
    <row r="189" spans="1:13" ht="15.75">
      <c r="A189" s="327" t="s">
        <v>26</v>
      </c>
      <c r="B189" s="328"/>
      <c r="C189" s="328"/>
      <c r="D189" s="328"/>
      <c r="E189" s="328"/>
      <c r="F189" s="329"/>
      <c r="G189" s="17"/>
      <c r="H189" s="17"/>
      <c r="K189" s="28"/>
      <c r="L189" s="28"/>
      <c r="M189" s="28"/>
    </row>
    <row r="190" spans="1:13" ht="13.5">
      <c r="A190" s="300" t="s">
        <v>62</v>
      </c>
      <c r="B190" s="301"/>
      <c r="C190" s="301"/>
      <c r="D190" s="301"/>
      <c r="E190" s="301"/>
      <c r="F190" s="302"/>
      <c r="G190" s="17"/>
      <c r="H190" s="17"/>
      <c r="K190" s="28"/>
      <c r="L190" s="28"/>
      <c r="M190" s="28"/>
    </row>
    <row r="191" spans="1:13" ht="16.5" thickBot="1">
      <c r="A191" s="303" t="s">
        <v>57</v>
      </c>
      <c r="B191" s="304"/>
      <c r="C191" s="304"/>
      <c r="D191" s="304"/>
      <c r="E191" s="304"/>
      <c r="F191" s="305"/>
      <c r="G191" s="17"/>
      <c r="H191" s="17"/>
      <c r="K191" s="28"/>
      <c r="L191" s="28"/>
      <c r="M191" s="28"/>
    </row>
    <row r="192" spans="1:13" ht="16.5" thickBot="1">
      <c r="A192" s="57">
        <v>83</v>
      </c>
      <c r="B192" s="58" t="s">
        <v>58</v>
      </c>
      <c r="C192" s="96">
        <v>2</v>
      </c>
      <c r="D192" s="90">
        <v>41</v>
      </c>
      <c r="E192" s="90">
        <f>55*1.05-0.05</f>
        <v>57.7</v>
      </c>
      <c r="F192" s="90">
        <f>64*1.05</f>
        <v>67.2</v>
      </c>
      <c r="G192" s="17"/>
      <c r="H192" s="17"/>
      <c r="K192" s="28"/>
      <c r="L192" s="28"/>
      <c r="M192" s="28"/>
    </row>
    <row r="193" spans="1:13" ht="15.75">
      <c r="A193" s="311" t="s">
        <v>69</v>
      </c>
      <c r="B193" s="312"/>
      <c r="C193" s="312"/>
      <c r="D193" s="312"/>
      <c r="E193" s="312"/>
      <c r="F193" s="313"/>
      <c r="G193" s="17"/>
      <c r="H193" s="17"/>
      <c r="K193" s="28"/>
      <c r="L193" s="28"/>
      <c r="M193" s="28"/>
    </row>
    <row r="194" spans="1:13" ht="15.75">
      <c r="A194" s="346" t="s">
        <v>70</v>
      </c>
      <c r="B194" s="347"/>
      <c r="C194" s="347"/>
      <c r="D194" s="347"/>
      <c r="E194" s="347"/>
      <c r="F194" s="348"/>
      <c r="G194" s="17"/>
      <c r="H194" s="17"/>
      <c r="K194" s="28"/>
      <c r="L194" s="28"/>
      <c r="M194" s="28"/>
    </row>
    <row r="195" spans="1:13" ht="16.5" thickBot="1">
      <c r="A195" s="303" t="s">
        <v>2</v>
      </c>
      <c r="B195" s="304"/>
      <c r="C195" s="304"/>
      <c r="D195" s="304"/>
      <c r="E195" s="304"/>
      <c r="F195" s="305"/>
      <c r="G195" s="17"/>
      <c r="H195" s="17"/>
      <c r="K195" s="28"/>
      <c r="L195" s="28"/>
      <c r="M195" s="28"/>
    </row>
    <row r="196" spans="1:13" ht="13.5" thickBot="1">
      <c r="A196" s="353" t="s">
        <v>3</v>
      </c>
      <c r="B196" s="342" t="s">
        <v>4</v>
      </c>
      <c r="C196" s="383" t="s">
        <v>86</v>
      </c>
      <c r="D196" s="396" t="s">
        <v>239</v>
      </c>
      <c r="E196" s="396"/>
      <c r="F196" s="397"/>
      <c r="G196" s="17"/>
      <c r="H196" s="17"/>
      <c r="K196" s="28"/>
      <c r="L196" s="28"/>
      <c r="M196" s="28"/>
    </row>
    <row r="197" spans="1:13" ht="33" customHeight="1" thickBot="1">
      <c r="A197" s="386"/>
      <c r="B197" s="349"/>
      <c r="C197" s="407"/>
      <c r="D197" s="107" t="s">
        <v>102</v>
      </c>
      <c r="E197" s="107" t="s">
        <v>103</v>
      </c>
      <c r="F197" s="124" t="s">
        <v>104</v>
      </c>
      <c r="G197" s="17"/>
      <c r="H197" s="17"/>
      <c r="K197" s="28"/>
      <c r="L197" s="28"/>
      <c r="M197" s="28"/>
    </row>
    <row r="198" spans="1:13" ht="32.25" customHeight="1" hidden="1" thickBot="1">
      <c r="A198" s="387"/>
      <c r="B198" s="388"/>
      <c r="C198" s="408"/>
      <c r="D198" s="229" t="s">
        <v>251</v>
      </c>
      <c r="E198" s="229" t="s">
        <v>252</v>
      </c>
      <c r="F198" s="95" t="s">
        <v>251</v>
      </c>
      <c r="G198" s="17"/>
      <c r="H198" s="17"/>
      <c r="K198" s="28"/>
      <c r="L198" s="28"/>
      <c r="M198" s="28"/>
    </row>
    <row r="199" spans="1:13" ht="48" thickBot="1">
      <c r="A199" s="155">
        <v>84</v>
      </c>
      <c r="B199" s="156" t="s">
        <v>71</v>
      </c>
      <c r="C199" s="123" t="s">
        <v>72</v>
      </c>
      <c r="D199" s="90">
        <v>19.6</v>
      </c>
      <c r="E199" s="90">
        <f>31.9*1.05</f>
        <v>33.495</v>
      </c>
      <c r="F199" s="90">
        <f>37.7*1.05+0.01</f>
        <v>39.595000000000006</v>
      </c>
      <c r="G199" s="17"/>
      <c r="H199" s="17"/>
      <c r="K199" s="28"/>
      <c r="L199" s="28"/>
      <c r="M199" s="28"/>
    </row>
    <row r="200" spans="1:13" ht="48" thickBot="1">
      <c r="A200" s="155">
        <v>85</v>
      </c>
      <c r="B200" s="156" t="s">
        <v>73</v>
      </c>
      <c r="C200" s="123" t="s">
        <v>74</v>
      </c>
      <c r="D200" s="90">
        <v>17</v>
      </c>
      <c r="E200" s="90">
        <f>28.6*1.05-0.03</f>
        <v>30</v>
      </c>
      <c r="F200" s="90">
        <f>34.5*1.05-0.03</f>
        <v>36.195</v>
      </c>
      <c r="G200" s="17"/>
      <c r="H200" s="17"/>
      <c r="K200" s="28"/>
      <c r="L200" s="28"/>
      <c r="M200" s="28"/>
    </row>
    <row r="201" spans="1:13" ht="48" thickBot="1">
      <c r="A201" s="155">
        <v>86</v>
      </c>
      <c r="B201" s="156" t="s">
        <v>73</v>
      </c>
      <c r="C201" s="123" t="s">
        <v>75</v>
      </c>
      <c r="D201" s="90">
        <v>13.7</v>
      </c>
      <c r="E201" s="90">
        <f>23.3*1.05+0.03</f>
        <v>24.495000000000005</v>
      </c>
      <c r="F201" s="90">
        <f>29*1.05-0.05</f>
        <v>30.400000000000002</v>
      </c>
      <c r="G201" s="17"/>
      <c r="H201" s="17"/>
      <c r="K201" s="28"/>
      <c r="L201" s="28"/>
      <c r="M201" s="28"/>
    </row>
    <row r="202" spans="1:13" ht="32.25" thickBot="1">
      <c r="A202" s="154">
        <v>87</v>
      </c>
      <c r="B202" s="142" t="s">
        <v>73</v>
      </c>
      <c r="C202" s="115" t="s">
        <v>76</v>
      </c>
      <c r="D202" s="72">
        <v>45</v>
      </c>
      <c r="E202" s="72">
        <f>65*1.05-0.05</f>
        <v>68.2</v>
      </c>
      <c r="F202" s="72">
        <f>68.4*1.05-0.02</f>
        <v>71.80000000000001</v>
      </c>
      <c r="G202" s="17"/>
      <c r="H202" s="17"/>
      <c r="K202" s="28"/>
      <c r="L202" s="28"/>
      <c r="M202" s="28"/>
    </row>
    <row r="203" spans="1:13" ht="15.75">
      <c r="A203" s="59"/>
      <c r="B203" s="10"/>
      <c r="C203" s="9"/>
      <c r="D203" s="61"/>
      <c r="E203" s="61"/>
      <c r="F203" s="61"/>
      <c r="G203" s="17"/>
      <c r="H203" s="17"/>
      <c r="K203" s="28"/>
      <c r="L203" s="28"/>
      <c r="M203" s="28"/>
    </row>
    <row r="204" spans="1:13" ht="15.75">
      <c r="A204" s="355" t="s">
        <v>77</v>
      </c>
      <c r="B204" s="355"/>
      <c r="C204" s="355"/>
      <c r="D204" s="355"/>
      <c r="E204" s="355"/>
      <c r="F204" s="355"/>
      <c r="G204" s="17"/>
      <c r="H204" s="17"/>
      <c r="K204" s="28"/>
      <c r="L204" s="28"/>
      <c r="M204" s="28"/>
    </row>
    <row r="205" spans="1:13" ht="15.75">
      <c r="A205" s="347" t="s">
        <v>78</v>
      </c>
      <c r="B205" s="347"/>
      <c r="C205" s="347"/>
      <c r="D205" s="347"/>
      <c r="E205" s="347"/>
      <c r="F205" s="347"/>
      <c r="G205" s="17"/>
      <c r="H205" s="17"/>
      <c r="K205" s="28"/>
      <c r="L205" s="28"/>
      <c r="M205" s="28"/>
    </row>
    <row r="206" spans="1:13" ht="16.5" thickBot="1">
      <c r="A206" s="304" t="s">
        <v>79</v>
      </c>
      <c r="B206" s="304"/>
      <c r="C206" s="304"/>
      <c r="D206" s="304"/>
      <c r="E206" s="304"/>
      <c r="F206" s="304"/>
      <c r="G206" s="17"/>
      <c r="H206" s="17"/>
      <c r="K206" s="28"/>
      <c r="L206" s="28"/>
      <c r="M206" s="28"/>
    </row>
    <row r="207" spans="1:13" ht="13.5" thickBot="1">
      <c r="A207" s="353" t="s">
        <v>3</v>
      </c>
      <c r="B207" s="342" t="s">
        <v>4</v>
      </c>
      <c r="C207" s="368" t="s">
        <v>86</v>
      </c>
      <c r="D207" s="391" t="s">
        <v>239</v>
      </c>
      <c r="E207" s="392"/>
      <c r="F207" s="393"/>
      <c r="G207" s="17"/>
      <c r="H207" s="17"/>
      <c r="K207" s="28"/>
      <c r="L207" s="28"/>
      <c r="M207" s="28"/>
    </row>
    <row r="208" spans="1:13" ht="33" customHeight="1" thickBot="1">
      <c r="A208" s="354"/>
      <c r="B208" s="350"/>
      <c r="C208" s="369"/>
      <c r="D208" s="107" t="s">
        <v>102</v>
      </c>
      <c r="E208" s="124" t="s">
        <v>103</v>
      </c>
      <c r="F208" s="123" t="s">
        <v>104</v>
      </c>
      <c r="G208" s="17"/>
      <c r="H208" s="17"/>
      <c r="K208" s="28"/>
      <c r="L208" s="28"/>
      <c r="M208" s="28"/>
    </row>
    <row r="209" spans="1:13" ht="16.5" thickBot="1">
      <c r="A209" s="154">
        <v>88</v>
      </c>
      <c r="B209" s="142" t="s">
        <v>80</v>
      </c>
      <c r="C209" s="110"/>
      <c r="D209" s="278">
        <v>15</v>
      </c>
      <c r="E209" s="157">
        <f>21.3*1.05+0.03</f>
        <v>22.395000000000003</v>
      </c>
      <c r="F209" s="158">
        <f>28.6*1.05-0.03</f>
        <v>30</v>
      </c>
      <c r="G209" s="17"/>
      <c r="H209" s="17"/>
      <c r="K209" s="28"/>
      <c r="L209" s="28"/>
      <c r="M209" s="28"/>
    </row>
    <row r="210" spans="1:13" ht="15.75">
      <c r="A210" s="311" t="s">
        <v>81</v>
      </c>
      <c r="B210" s="312"/>
      <c r="C210" s="312"/>
      <c r="D210" s="312"/>
      <c r="E210" s="312"/>
      <c r="F210" s="312"/>
      <c r="G210" s="17"/>
      <c r="H210" s="17"/>
      <c r="K210" s="28"/>
      <c r="L210" s="28"/>
      <c r="M210" s="28"/>
    </row>
    <row r="211" spans="1:13" ht="15.75">
      <c r="A211" s="346" t="s">
        <v>78</v>
      </c>
      <c r="B211" s="347"/>
      <c r="C211" s="347"/>
      <c r="D211" s="347"/>
      <c r="E211" s="347"/>
      <c r="F211" s="347"/>
      <c r="G211" s="17"/>
      <c r="H211" s="17"/>
      <c r="K211" s="28"/>
      <c r="L211" s="28"/>
      <c r="M211" s="28"/>
    </row>
    <row r="212" spans="1:13" ht="16.5" thickBot="1">
      <c r="A212" s="303" t="s">
        <v>79</v>
      </c>
      <c r="B212" s="304"/>
      <c r="C212" s="304"/>
      <c r="D212" s="304"/>
      <c r="E212" s="304"/>
      <c r="F212" s="304"/>
      <c r="G212" s="17"/>
      <c r="H212" s="17"/>
      <c r="K212" s="28"/>
      <c r="L212" s="28"/>
      <c r="M212" s="28"/>
    </row>
    <row r="213" spans="1:13" ht="13.5" thickBot="1">
      <c r="A213" s="353" t="s">
        <v>3</v>
      </c>
      <c r="B213" s="342" t="s">
        <v>4</v>
      </c>
      <c r="C213" s="383" t="s">
        <v>86</v>
      </c>
      <c r="D213" s="384" t="s">
        <v>239</v>
      </c>
      <c r="E213" s="384"/>
      <c r="F213" s="385"/>
      <c r="G213" s="17"/>
      <c r="H213" s="17"/>
      <c r="K213" s="28"/>
      <c r="L213" s="28"/>
      <c r="M213" s="28"/>
    </row>
    <row r="214" spans="1:13" ht="31.5" customHeight="1" thickBot="1">
      <c r="A214" s="354"/>
      <c r="B214" s="350"/>
      <c r="C214" s="369"/>
      <c r="D214" s="124" t="s">
        <v>102</v>
      </c>
      <c r="E214" s="124" t="s">
        <v>103</v>
      </c>
      <c r="F214" s="124" t="s">
        <v>104</v>
      </c>
      <c r="G214" s="17"/>
      <c r="H214" s="17"/>
      <c r="K214" s="28"/>
      <c r="L214" s="28"/>
      <c r="M214" s="28"/>
    </row>
    <row r="215" spans="1:13" ht="16.5" thickBot="1">
      <c r="A215" s="154">
        <v>89</v>
      </c>
      <c r="B215" s="142"/>
      <c r="C215" s="110"/>
      <c r="D215" s="157">
        <v>11.1</v>
      </c>
      <c r="E215" s="157">
        <f>21.1*1.05+0.04</f>
        <v>22.195</v>
      </c>
      <c r="F215" s="157">
        <f>25.4*1.05+0.03</f>
        <v>26.7</v>
      </c>
      <c r="G215" s="17"/>
      <c r="H215" s="17"/>
      <c r="K215" s="28"/>
      <c r="L215" s="28"/>
      <c r="M215" s="28"/>
    </row>
    <row r="216" spans="1:13" ht="12.75">
      <c r="A216" s="17"/>
      <c r="B216" s="17"/>
      <c r="C216" s="17"/>
      <c r="D216" s="17"/>
      <c r="E216" s="17"/>
      <c r="F216" s="17"/>
      <c r="G216" s="17"/>
      <c r="H216" s="17"/>
      <c r="K216" s="28"/>
      <c r="L216" s="28"/>
      <c r="M216" s="28"/>
    </row>
    <row r="217" spans="1:13" ht="12.75">
      <c r="A217" s="18" t="s">
        <v>170</v>
      </c>
      <c r="B217" s="18"/>
      <c r="C217" s="18"/>
      <c r="D217" s="18"/>
      <c r="E217" s="18"/>
      <c r="F217" s="18"/>
      <c r="G217" s="17"/>
      <c r="H217" s="17"/>
      <c r="K217" s="28"/>
      <c r="L217" s="28"/>
      <c r="M217" s="28"/>
    </row>
    <row r="218" spans="1:13" ht="12.75">
      <c r="A218" s="18"/>
      <c r="B218" s="18" t="s">
        <v>171</v>
      </c>
      <c r="C218" s="18"/>
      <c r="D218" s="18"/>
      <c r="E218" s="18"/>
      <c r="F218" s="18"/>
      <c r="G218" s="17"/>
      <c r="H218" s="17"/>
      <c r="K218" s="28"/>
      <c r="L218" s="28"/>
      <c r="M218" s="28"/>
    </row>
    <row r="219" spans="1:13" ht="12.75">
      <c r="A219" s="17"/>
      <c r="B219" s="17"/>
      <c r="C219" s="17"/>
      <c r="D219" s="17"/>
      <c r="E219" s="17"/>
      <c r="F219" s="17"/>
      <c r="G219" s="17"/>
      <c r="H219" s="17"/>
      <c r="K219" s="28"/>
      <c r="L219" s="28"/>
      <c r="M219" s="28"/>
    </row>
    <row r="220" spans="1:14" ht="15.75">
      <c r="A220" s="340" t="s">
        <v>105</v>
      </c>
      <c r="B220" s="340"/>
      <c r="C220" s="340"/>
      <c r="D220" s="340"/>
      <c r="E220" s="340"/>
      <c r="F220" s="340"/>
      <c r="G220" s="340"/>
      <c r="H220" s="340"/>
      <c r="K220" s="28"/>
      <c r="L220" s="28"/>
      <c r="M220" s="28"/>
      <c r="N220" s="3"/>
    </row>
    <row r="221" spans="1:14" ht="15.75">
      <c r="A221" s="339"/>
      <c r="B221" s="339"/>
      <c r="C221" s="339"/>
      <c r="D221" s="339"/>
      <c r="E221" s="339"/>
      <c r="F221" s="339"/>
      <c r="G221" s="339"/>
      <c r="H221" s="17"/>
      <c r="K221" s="28"/>
      <c r="L221" s="28"/>
      <c r="M221" s="28"/>
      <c r="N221" s="3"/>
    </row>
    <row r="222" spans="1:13" ht="15.75">
      <c r="A222" s="340" t="s">
        <v>82</v>
      </c>
      <c r="B222" s="340"/>
      <c r="C222" s="340"/>
      <c r="D222" s="340"/>
      <c r="E222" s="340"/>
      <c r="F222" s="340"/>
      <c r="G222" s="340"/>
      <c r="H222" s="340"/>
      <c r="K222" s="28"/>
      <c r="L222" s="28"/>
      <c r="M222" s="28"/>
    </row>
    <row r="223" spans="1:13" ht="15.75">
      <c r="A223" s="340" t="s">
        <v>83</v>
      </c>
      <c r="B223" s="340"/>
      <c r="C223" s="340"/>
      <c r="D223" s="340"/>
      <c r="E223" s="340"/>
      <c r="F223" s="340"/>
      <c r="G223" s="340"/>
      <c r="H223" s="340"/>
      <c r="K223" s="28"/>
      <c r="L223" s="28"/>
      <c r="M223" s="28"/>
    </row>
    <row r="224" spans="1:13" ht="15.75">
      <c r="A224" s="339" t="s">
        <v>106</v>
      </c>
      <c r="B224" s="339"/>
      <c r="C224" s="339"/>
      <c r="D224" s="339"/>
      <c r="E224" s="339"/>
      <c r="F224" s="339"/>
      <c r="G224" s="339"/>
      <c r="H224" s="339"/>
      <c r="K224" s="28"/>
      <c r="L224" s="28"/>
      <c r="M224" s="28"/>
    </row>
    <row r="225" spans="1:13" ht="15.75">
      <c r="A225" s="339" t="s">
        <v>92</v>
      </c>
      <c r="B225" s="339"/>
      <c r="C225" s="339"/>
      <c r="D225" s="339"/>
      <c r="E225" s="339"/>
      <c r="F225" s="339"/>
      <c r="G225" s="339"/>
      <c r="H225" s="339"/>
      <c r="K225" s="28"/>
      <c r="L225" s="28"/>
      <c r="M225" s="28"/>
    </row>
    <row r="226" spans="1:13" ht="15.75">
      <c r="A226" s="339" t="s">
        <v>93</v>
      </c>
      <c r="B226" s="339"/>
      <c r="C226" s="339"/>
      <c r="D226" s="339"/>
      <c r="E226" s="339"/>
      <c r="F226" s="339"/>
      <c r="G226" s="339"/>
      <c r="H226" s="339"/>
      <c r="K226" s="28"/>
      <c r="L226" s="28"/>
      <c r="M226" s="28"/>
    </row>
    <row r="227" spans="1:13" ht="15.75">
      <c r="A227" s="340" t="s">
        <v>84</v>
      </c>
      <c r="B227" s="340"/>
      <c r="C227" s="340"/>
      <c r="D227" s="340"/>
      <c r="E227" s="340"/>
      <c r="F227" s="340"/>
      <c r="G227" s="340"/>
      <c r="H227" s="340"/>
      <c r="K227" s="28"/>
      <c r="L227" s="28"/>
      <c r="M227" s="28"/>
    </row>
    <row r="228" spans="1:13" ht="16.5" thickBot="1">
      <c r="A228" s="341" t="s">
        <v>85</v>
      </c>
      <c r="B228" s="341"/>
      <c r="C228" s="341"/>
      <c r="D228" s="341"/>
      <c r="E228" s="341"/>
      <c r="F228" s="341"/>
      <c r="G228" s="341"/>
      <c r="H228" s="341"/>
      <c r="K228" s="28"/>
      <c r="L228" s="28"/>
      <c r="M228" s="28"/>
    </row>
    <row r="229" spans="1:13" ht="13.5" thickBot="1">
      <c r="A229" s="356" t="s">
        <v>3</v>
      </c>
      <c r="B229" s="356" t="s">
        <v>86</v>
      </c>
      <c r="C229" s="356" t="s">
        <v>87</v>
      </c>
      <c r="D229" s="391" t="s">
        <v>6</v>
      </c>
      <c r="E229" s="392"/>
      <c r="F229" s="392"/>
      <c r="G229" s="392"/>
      <c r="H229" s="393"/>
      <c r="K229" s="28"/>
      <c r="L229" s="28"/>
      <c r="M229" s="28"/>
    </row>
    <row r="230" spans="1:13" ht="33.75" customHeight="1" thickBot="1">
      <c r="A230" s="409"/>
      <c r="B230" s="409"/>
      <c r="C230" s="409"/>
      <c r="D230" s="107" t="s">
        <v>199</v>
      </c>
      <c r="E230" s="107" t="s">
        <v>107</v>
      </c>
      <c r="F230" s="107" t="s">
        <v>102</v>
      </c>
      <c r="G230" s="107" t="s">
        <v>103</v>
      </c>
      <c r="H230" s="124" t="s">
        <v>104</v>
      </c>
      <c r="K230" s="28"/>
      <c r="L230" s="28"/>
      <c r="M230" s="28"/>
    </row>
    <row r="231" spans="1:13" ht="28.5" customHeight="1" hidden="1" thickBot="1">
      <c r="A231" s="357"/>
      <c r="B231" s="357"/>
      <c r="C231" s="357"/>
      <c r="D231" s="229" t="s">
        <v>251</v>
      </c>
      <c r="E231" s="229" t="s">
        <v>252</v>
      </c>
      <c r="F231" s="95" t="s">
        <v>251</v>
      </c>
      <c r="G231" s="229" t="s">
        <v>252</v>
      </c>
      <c r="H231" s="95" t="s">
        <v>251</v>
      </c>
      <c r="K231" s="28"/>
      <c r="L231" s="28"/>
      <c r="M231" s="28"/>
    </row>
    <row r="232" spans="1:13" ht="15" customHeight="1">
      <c r="A232" s="82">
        <v>90</v>
      </c>
      <c r="B232" s="342" t="s">
        <v>88</v>
      </c>
      <c r="C232" s="112">
        <v>4</v>
      </c>
      <c r="D232" s="230">
        <f>D233-$I$232</f>
        <v>7.006</v>
      </c>
      <c r="E232" s="71">
        <f>E233-$I$232</f>
        <v>9.816</v>
      </c>
      <c r="F232" s="71">
        <f>F233-$I$232</f>
        <v>12.816</v>
      </c>
      <c r="G232" s="71">
        <f>G233-$I$232</f>
        <v>17.316</v>
      </c>
      <c r="H232" s="235">
        <f>H233-$I$232</f>
        <v>22.416</v>
      </c>
      <c r="I232" s="122">
        <v>0.184</v>
      </c>
      <c r="J232">
        <f>I232*10000</f>
        <v>1840</v>
      </c>
      <c r="K232" s="28"/>
      <c r="L232" s="28"/>
      <c r="M232" s="28"/>
    </row>
    <row r="233" spans="1:13" ht="15.75">
      <c r="A233" s="83">
        <v>91</v>
      </c>
      <c r="B233" s="349"/>
      <c r="C233" s="114">
        <v>2</v>
      </c>
      <c r="D233" s="231">
        <v>7.19</v>
      </c>
      <c r="E233" s="68">
        <v>10</v>
      </c>
      <c r="F233" s="68">
        <v>13</v>
      </c>
      <c r="G233" s="68">
        <v>17.5</v>
      </c>
      <c r="H233" s="236">
        <v>22.6</v>
      </c>
      <c r="I233" s="122"/>
      <c r="K233" s="28"/>
      <c r="L233" s="28"/>
      <c r="M233" s="28"/>
    </row>
    <row r="234" spans="1:13" ht="15.75" hidden="1">
      <c r="A234" s="83">
        <v>86</v>
      </c>
      <c r="B234" s="349"/>
      <c r="C234" s="135" t="s">
        <v>89</v>
      </c>
      <c r="D234" s="232">
        <f>D233+$I$234</f>
        <v>1197.19</v>
      </c>
      <c r="E234" s="67">
        <f>E233+$I$234</f>
        <v>1200</v>
      </c>
      <c r="F234" s="67">
        <f>F233+$I$234</f>
        <v>1203</v>
      </c>
      <c r="G234" s="67">
        <f>G233+$I$234</f>
        <v>1207.5</v>
      </c>
      <c r="H234" s="237">
        <f>H233+$I$234</f>
        <v>1212.6</v>
      </c>
      <c r="I234" s="122">
        <v>1190</v>
      </c>
      <c r="K234" s="28"/>
      <c r="L234" s="28"/>
      <c r="M234" s="28"/>
    </row>
    <row r="235" spans="1:13" ht="16.5" thickBot="1">
      <c r="A235" s="84">
        <v>92</v>
      </c>
      <c r="B235" s="350"/>
      <c r="C235" s="113">
        <v>1</v>
      </c>
      <c r="D235" s="233">
        <f>D233+$I$235+0.01</f>
        <v>7.384</v>
      </c>
      <c r="E235" s="69">
        <f>E233+$I$235</f>
        <v>10.184</v>
      </c>
      <c r="F235" s="69">
        <f>F233+$I$235</f>
        <v>13.184</v>
      </c>
      <c r="G235" s="69">
        <f>G233+$I$235</f>
        <v>17.684</v>
      </c>
      <c r="H235" s="238">
        <f>H233+$I$235</f>
        <v>22.784000000000002</v>
      </c>
      <c r="I235" s="122">
        <v>0.184</v>
      </c>
      <c r="J235">
        <f>I235*10000</f>
        <v>1840</v>
      </c>
      <c r="K235" s="28"/>
      <c r="L235" s="28"/>
      <c r="M235" s="28"/>
    </row>
    <row r="236" spans="1:13" ht="23.25" customHeight="1">
      <c r="A236" s="85">
        <v>93</v>
      </c>
      <c r="B236" s="342" t="s">
        <v>90</v>
      </c>
      <c r="C236" s="112">
        <v>4</v>
      </c>
      <c r="D236" s="234">
        <f>D237-$I$232</f>
        <v>8.016</v>
      </c>
      <c r="E236" s="73">
        <f>E237-$I$232</f>
        <v>10.816</v>
      </c>
      <c r="F236" s="73">
        <f>F237-$I$232</f>
        <v>13.816</v>
      </c>
      <c r="G236" s="73">
        <f>G237-$I$232</f>
        <v>18.316</v>
      </c>
      <c r="H236" s="239">
        <f>H237-$I$232</f>
        <v>23.416</v>
      </c>
      <c r="K236" s="28"/>
      <c r="L236" s="28"/>
      <c r="M236" s="28"/>
    </row>
    <row r="237" spans="1:13" ht="27" customHeight="1">
      <c r="A237" s="83">
        <v>94</v>
      </c>
      <c r="B237" s="349"/>
      <c r="C237" s="114">
        <v>2</v>
      </c>
      <c r="D237" s="231">
        <v>8.2</v>
      </c>
      <c r="E237" s="68">
        <v>11</v>
      </c>
      <c r="F237" s="68">
        <v>14</v>
      </c>
      <c r="G237" s="68">
        <v>18.5</v>
      </c>
      <c r="H237" s="236">
        <v>23.6</v>
      </c>
      <c r="K237" s="28"/>
      <c r="L237" s="28"/>
      <c r="M237" s="28"/>
    </row>
    <row r="238" spans="1:13" ht="15.75" hidden="1">
      <c r="A238" s="83">
        <v>90</v>
      </c>
      <c r="B238" s="349"/>
      <c r="C238" s="135" t="s">
        <v>89</v>
      </c>
      <c r="D238" s="232">
        <f>D237+$I$234</f>
        <v>1198.2</v>
      </c>
      <c r="E238" s="67">
        <f>E237+$I$234</f>
        <v>1201</v>
      </c>
      <c r="F238" s="67">
        <f>F237+$I$234</f>
        <v>1204</v>
      </c>
      <c r="G238" s="67">
        <f>G237+$I$234</f>
        <v>1208.5</v>
      </c>
      <c r="H238" s="237">
        <f>H237+$I$234</f>
        <v>1213.6</v>
      </c>
      <c r="K238" s="28"/>
      <c r="L238" s="28"/>
      <c r="M238" s="28"/>
    </row>
    <row r="239" spans="1:13" ht="27" customHeight="1" thickBot="1">
      <c r="A239" s="84">
        <v>95</v>
      </c>
      <c r="B239" s="350"/>
      <c r="C239" s="113">
        <v>1</v>
      </c>
      <c r="D239" s="233">
        <f>D237+$I$235</f>
        <v>8.383999999999999</v>
      </c>
      <c r="E239" s="69">
        <f>E237+$I$235</f>
        <v>11.184</v>
      </c>
      <c r="F239" s="69">
        <f>F237+$I$235</f>
        <v>14.184</v>
      </c>
      <c r="G239" s="69">
        <f>G237+$I$235</f>
        <v>18.684</v>
      </c>
      <c r="H239" s="238">
        <f>H237+$I$235</f>
        <v>23.784000000000002</v>
      </c>
      <c r="K239" s="28"/>
      <c r="L239" s="28"/>
      <c r="M239" s="28"/>
    </row>
    <row r="240" spans="1:13" ht="21" customHeight="1">
      <c r="A240" s="85">
        <v>96</v>
      </c>
      <c r="B240" s="342" t="s">
        <v>91</v>
      </c>
      <c r="C240" s="112">
        <v>4</v>
      </c>
      <c r="D240" s="234">
        <f>D241-$I$232</f>
        <v>6.946</v>
      </c>
      <c r="E240" s="73">
        <f>E241-$I$232</f>
        <v>9.316</v>
      </c>
      <c r="F240" s="73">
        <f>F241-$I$232</f>
        <v>12.316</v>
      </c>
      <c r="G240" s="73">
        <f>G241-$I$232</f>
        <v>16.316</v>
      </c>
      <c r="H240" s="239">
        <f>H241-$I$232</f>
        <v>21.395999999999997</v>
      </c>
      <c r="K240" s="28"/>
      <c r="L240" s="28"/>
      <c r="M240" s="28"/>
    </row>
    <row r="241" spans="1:13" ht="22.5" customHeight="1">
      <c r="A241" s="83">
        <v>97</v>
      </c>
      <c r="B241" s="349"/>
      <c r="C241" s="114">
        <v>2</v>
      </c>
      <c r="D241" s="231">
        <v>7.13</v>
      </c>
      <c r="E241" s="68">
        <v>9.5</v>
      </c>
      <c r="F241" s="68">
        <v>12.5</v>
      </c>
      <c r="G241" s="68">
        <v>16.5</v>
      </c>
      <c r="H241" s="236">
        <v>21.58</v>
      </c>
      <c r="K241" s="28"/>
      <c r="L241" s="28"/>
      <c r="M241" s="28"/>
    </row>
    <row r="242" spans="1:13" ht="15.75" hidden="1">
      <c r="A242" s="83">
        <v>94</v>
      </c>
      <c r="B242" s="349"/>
      <c r="C242" s="135" t="s">
        <v>89</v>
      </c>
      <c r="D242" s="232">
        <f>D241+$I$234</f>
        <v>1197.13</v>
      </c>
      <c r="E242" s="67">
        <f>E241+$I$234</f>
        <v>1199.5</v>
      </c>
      <c r="F242" s="67">
        <f>F241+$I$234</f>
        <v>1202.5</v>
      </c>
      <c r="G242" s="67">
        <f>G241+$I$234</f>
        <v>1206.5</v>
      </c>
      <c r="H242" s="237">
        <f>H241+$I$234</f>
        <v>1211.58</v>
      </c>
      <c r="K242" s="28"/>
      <c r="L242" s="28"/>
      <c r="M242" s="28"/>
    </row>
    <row r="243" spans="1:13" ht="20.25" customHeight="1" thickBot="1">
      <c r="A243" s="84">
        <v>98</v>
      </c>
      <c r="B243" s="350"/>
      <c r="C243" s="113">
        <v>1</v>
      </c>
      <c r="D243" s="233">
        <f>D241+$I$235</f>
        <v>7.314</v>
      </c>
      <c r="E243" s="69">
        <f>E241+$I$235</f>
        <v>9.684</v>
      </c>
      <c r="F243" s="69">
        <f>F241+$I$235</f>
        <v>12.684</v>
      </c>
      <c r="G243" s="69">
        <f>G241+$I$235</f>
        <v>16.684</v>
      </c>
      <c r="H243" s="238">
        <f>H241+$I$235</f>
        <v>21.764</v>
      </c>
      <c r="K243" s="28"/>
      <c r="L243" s="28"/>
      <c r="M243" s="28"/>
    </row>
    <row r="244" spans="1:13" ht="12.75">
      <c r="A244" s="17"/>
      <c r="B244" s="17"/>
      <c r="C244" s="17"/>
      <c r="D244" s="17"/>
      <c r="E244" s="17"/>
      <c r="F244" s="17"/>
      <c r="G244" s="17"/>
      <c r="H244" s="17"/>
      <c r="K244" s="28"/>
      <c r="L244" s="28"/>
      <c r="M244" s="28"/>
    </row>
    <row r="245" spans="1:13" ht="15.75">
      <c r="A245" s="358" t="s">
        <v>108</v>
      </c>
      <c r="B245" s="358"/>
      <c r="C245" s="358"/>
      <c r="D245" s="358"/>
      <c r="E245" s="358"/>
      <c r="F245" s="358"/>
      <c r="G245" s="36"/>
      <c r="H245" s="17"/>
      <c r="K245" s="28"/>
      <c r="L245" s="28"/>
      <c r="M245" s="28"/>
    </row>
    <row r="246" spans="1:13" ht="15.75">
      <c r="A246" s="340" t="s">
        <v>95</v>
      </c>
      <c r="B246" s="340"/>
      <c r="C246" s="340"/>
      <c r="D246" s="340"/>
      <c r="E246" s="340"/>
      <c r="F246" s="340"/>
      <c r="G246" s="36"/>
      <c r="H246" s="17"/>
      <c r="K246" s="28"/>
      <c r="L246" s="28"/>
      <c r="M246" s="28"/>
    </row>
    <row r="247" spans="1:15" ht="15.75">
      <c r="A247" s="340" t="s">
        <v>109</v>
      </c>
      <c r="B247" s="340"/>
      <c r="C247" s="340"/>
      <c r="D247" s="340"/>
      <c r="E247" s="340"/>
      <c r="F247" s="340"/>
      <c r="G247" s="36"/>
      <c r="H247" s="17"/>
      <c r="K247" s="28"/>
      <c r="L247" s="28"/>
      <c r="M247" s="28"/>
      <c r="N247">
        <v>1190</v>
      </c>
      <c r="O247" t="s">
        <v>180</v>
      </c>
    </row>
    <row r="248" spans="1:13" ht="15.75">
      <c r="A248" s="340" t="s">
        <v>211</v>
      </c>
      <c r="B248" s="340"/>
      <c r="C248" s="340"/>
      <c r="D248" s="340"/>
      <c r="E248" s="340"/>
      <c r="F248" s="340"/>
      <c r="G248" s="36"/>
      <c r="H248" s="17"/>
      <c r="K248" s="28"/>
      <c r="L248" s="28"/>
      <c r="M248" s="28"/>
    </row>
    <row r="249" spans="1:13" ht="13.5" customHeight="1">
      <c r="A249" s="340"/>
      <c r="B249" s="340"/>
      <c r="C249" s="340"/>
      <c r="D249" s="340"/>
      <c r="E249" s="340"/>
      <c r="F249" s="340"/>
      <c r="G249" s="340"/>
      <c r="H249" s="17"/>
      <c r="K249" s="28"/>
      <c r="L249" s="28"/>
      <c r="M249" s="28"/>
    </row>
    <row r="250" spans="1:13" ht="12.75" hidden="1">
      <c r="A250" s="17"/>
      <c r="B250" s="17"/>
      <c r="C250" s="17"/>
      <c r="D250" s="17"/>
      <c r="E250" s="17"/>
      <c r="F250" s="17"/>
      <c r="G250" s="17"/>
      <c r="H250" s="17"/>
      <c r="K250" s="28"/>
      <c r="L250" s="28"/>
      <c r="M250" s="28"/>
    </row>
    <row r="251" spans="1:13" ht="16.5" thickBot="1">
      <c r="A251" s="341" t="s">
        <v>96</v>
      </c>
      <c r="B251" s="341"/>
      <c r="C251" s="341"/>
      <c r="D251" s="341"/>
      <c r="E251" s="341"/>
      <c r="F251" s="308"/>
      <c r="G251" s="37"/>
      <c r="H251" s="17"/>
      <c r="K251" s="28"/>
      <c r="L251" s="28"/>
      <c r="M251" s="28"/>
    </row>
    <row r="252" spans="1:14" ht="34.5" customHeight="1" thickBot="1">
      <c r="A252" s="356" t="s">
        <v>3</v>
      </c>
      <c r="B252" s="333" t="s">
        <v>86</v>
      </c>
      <c r="C252" s="410"/>
      <c r="D252" s="410"/>
      <c r="E252" s="356" t="s">
        <v>87</v>
      </c>
      <c r="F252" s="124" t="s">
        <v>6</v>
      </c>
      <c r="G252" s="9"/>
      <c r="H252" s="17"/>
      <c r="K252" s="28"/>
      <c r="L252" s="28"/>
      <c r="M252" s="28"/>
      <c r="N252" s="2"/>
    </row>
    <row r="253" spans="1:14" ht="30.75" customHeight="1" hidden="1" thickBot="1">
      <c r="A253" s="357"/>
      <c r="B253" s="411"/>
      <c r="C253" s="411"/>
      <c r="D253" s="411"/>
      <c r="E253" s="357"/>
      <c r="F253" s="229" t="s">
        <v>251</v>
      </c>
      <c r="G253" s="9"/>
      <c r="H253" s="17"/>
      <c r="K253" s="28"/>
      <c r="L253" s="28"/>
      <c r="M253" s="28"/>
      <c r="N253" s="2"/>
    </row>
    <row r="254" spans="1:14" ht="15" customHeight="1">
      <c r="A254" s="165">
        <v>99</v>
      </c>
      <c r="B254" s="333" t="s">
        <v>175</v>
      </c>
      <c r="C254" s="333"/>
      <c r="D254" s="360"/>
      <c r="E254" s="119" t="s">
        <v>236</v>
      </c>
      <c r="F254" s="119">
        <v>4.6</v>
      </c>
      <c r="G254" s="366"/>
      <c r="N254" s="3"/>
    </row>
    <row r="255" spans="1:14" ht="15.75">
      <c r="A255" s="166">
        <v>100</v>
      </c>
      <c r="B255" s="362"/>
      <c r="C255" s="362"/>
      <c r="D255" s="363"/>
      <c r="E255" s="120" t="s">
        <v>237</v>
      </c>
      <c r="F255" s="120">
        <v>5.1</v>
      </c>
      <c r="G255" s="366"/>
      <c r="N255" s="3"/>
    </row>
    <row r="256" spans="1:14" ht="16.5" thickBot="1">
      <c r="A256" s="167">
        <v>101</v>
      </c>
      <c r="B256" s="336"/>
      <c r="C256" s="336"/>
      <c r="D256" s="365"/>
      <c r="E256" s="121" t="s">
        <v>238</v>
      </c>
      <c r="F256" s="121">
        <v>5.6</v>
      </c>
      <c r="G256" s="366"/>
      <c r="N256" s="3"/>
    </row>
    <row r="257" spans="1:14" ht="15" customHeight="1" hidden="1">
      <c r="A257" s="29">
        <v>99</v>
      </c>
      <c r="B257" s="359" t="s">
        <v>97</v>
      </c>
      <c r="C257" s="333"/>
      <c r="D257" s="360"/>
      <c r="E257" s="12"/>
      <c r="F257" s="81">
        <v>18500</v>
      </c>
      <c r="G257" s="366"/>
      <c r="H257" s="17"/>
      <c r="N257" s="1"/>
    </row>
    <row r="258" spans="1:14" ht="15.75" hidden="1">
      <c r="A258" s="44">
        <v>100</v>
      </c>
      <c r="B258" s="361"/>
      <c r="C258" s="362"/>
      <c r="D258" s="363"/>
      <c r="E258" s="6"/>
      <c r="F258" s="45">
        <v>19500</v>
      </c>
      <c r="G258" s="366"/>
      <c r="H258" s="17"/>
      <c r="N258" s="1"/>
    </row>
    <row r="259" spans="1:14" ht="16.5" hidden="1" thickBot="1">
      <c r="A259" s="30">
        <v>101</v>
      </c>
      <c r="B259" s="364"/>
      <c r="C259" s="336"/>
      <c r="D259" s="365"/>
      <c r="E259" s="7"/>
      <c r="F259" s="11">
        <v>20800</v>
      </c>
      <c r="G259" s="366"/>
      <c r="H259" s="17"/>
      <c r="N259" s="1"/>
    </row>
    <row r="260" spans="1:14" ht="15" customHeight="1" hidden="1">
      <c r="A260" s="29">
        <v>102</v>
      </c>
      <c r="B260" s="359" t="s">
        <v>98</v>
      </c>
      <c r="C260" s="333"/>
      <c r="D260" s="360"/>
      <c r="E260" s="31"/>
      <c r="F260" s="43">
        <v>10700</v>
      </c>
      <c r="G260" s="366"/>
      <c r="H260" s="17"/>
      <c r="N260" s="1"/>
    </row>
    <row r="261" spans="1:14" ht="15.75" hidden="1">
      <c r="A261" s="44">
        <v>103</v>
      </c>
      <c r="B261" s="361"/>
      <c r="C261" s="362"/>
      <c r="D261" s="363"/>
      <c r="E261" s="6"/>
      <c r="F261" s="46">
        <v>13700</v>
      </c>
      <c r="G261" s="366"/>
      <c r="H261" s="17"/>
      <c r="N261" s="1"/>
    </row>
    <row r="262" spans="1:14" ht="16.5" hidden="1" thickBot="1">
      <c r="A262" s="30">
        <v>104</v>
      </c>
      <c r="B262" s="364"/>
      <c r="C262" s="336"/>
      <c r="D262" s="365"/>
      <c r="E262" s="8"/>
      <c r="F262" s="11">
        <v>15400</v>
      </c>
      <c r="G262" s="366"/>
      <c r="H262" s="17"/>
      <c r="N262" s="1"/>
    </row>
    <row r="263" spans="1:8" ht="12" customHeight="1">
      <c r="A263" s="42"/>
      <c r="B263" s="42"/>
      <c r="C263" s="42"/>
      <c r="D263" s="42"/>
      <c r="E263" s="42"/>
      <c r="F263" s="42"/>
      <c r="G263" s="17"/>
      <c r="H263" s="17"/>
    </row>
    <row r="264" spans="1:8" ht="12" customHeight="1" hidden="1">
      <c r="A264" s="17"/>
      <c r="B264" s="17"/>
      <c r="C264" s="17"/>
      <c r="D264" s="17"/>
      <c r="E264" s="17"/>
      <c r="F264" s="17"/>
      <c r="G264" s="17"/>
      <c r="H264" s="17"/>
    </row>
    <row r="265" spans="1:8" ht="15.75">
      <c r="A265" s="17"/>
      <c r="B265" s="47" t="s">
        <v>200</v>
      </c>
      <c r="C265" s="47"/>
      <c r="D265" s="47"/>
      <c r="E265" s="47"/>
      <c r="F265" s="47"/>
      <c r="G265" s="17"/>
      <c r="H265" s="17"/>
    </row>
    <row r="266" spans="1:8" ht="16.5" thickBot="1">
      <c r="A266" s="17"/>
      <c r="B266" s="47" t="s">
        <v>212</v>
      </c>
      <c r="C266" s="47"/>
      <c r="D266" s="47"/>
      <c r="E266" s="106"/>
      <c r="F266" s="47"/>
      <c r="G266" s="17"/>
      <c r="H266" s="17"/>
    </row>
    <row r="267" spans="1:8" ht="12" customHeight="1">
      <c r="A267" s="48"/>
      <c r="B267" s="41"/>
      <c r="C267" s="41"/>
      <c r="D267" s="41"/>
      <c r="E267" s="356" t="s">
        <v>6</v>
      </c>
      <c r="F267" s="362"/>
      <c r="G267" s="17"/>
      <c r="H267" s="17"/>
    </row>
    <row r="268" spans="1:8" ht="21" customHeight="1" thickBot="1">
      <c r="A268" s="105"/>
      <c r="B268" s="106" t="s">
        <v>99</v>
      </c>
      <c r="C268" s="106"/>
      <c r="D268" s="106"/>
      <c r="E268" s="357"/>
      <c r="F268" s="367"/>
      <c r="G268" s="17"/>
      <c r="H268" s="17"/>
    </row>
    <row r="269" spans="1:8" ht="37.5" customHeight="1" thickBot="1">
      <c r="A269" s="330">
        <v>102</v>
      </c>
      <c r="B269" s="332" t="s">
        <v>100</v>
      </c>
      <c r="C269" s="333"/>
      <c r="D269" s="334"/>
      <c r="E269" s="294" t="s">
        <v>277</v>
      </c>
      <c r="F269" s="347"/>
      <c r="G269" s="47"/>
      <c r="H269" s="47"/>
    </row>
    <row r="270" spans="1:8" ht="16.5" thickBot="1">
      <c r="A270" s="331"/>
      <c r="B270" s="335"/>
      <c r="C270" s="336"/>
      <c r="D270" s="337"/>
      <c r="E270" s="240">
        <v>0.43</v>
      </c>
      <c r="F270" s="347"/>
      <c r="G270" s="227"/>
      <c r="H270" s="47"/>
    </row>
    <row r="271" spans="1:8" ht="15.75">
      <c r="A271" s="340" t="s">
        <v>213</v>
      </c>
      <c r="B271" s="340"/>
      <c r="C271" s="340"/>
      <c r="D271" s="340"/>
      <c r="E271" s="340"/>
      <c r="F271" s="340"/>
      <c r="G271" s="49"/>
      <c r="H271" s="17"/>
    </row>
    <row r="272" spans="1:8" ht="13.5" thickBot="1">
      <c r="A272" s="340"/>
      <c r="B272" s="340"/>
      <c r="C272" s="340"/>
      <c r="D272" s="340"/>
      <c r="E272" s="340"/>
      <c r="F272" s="340"/>
      <c r="G272" s="17"/>
      <c r="H272" s="17"/>
    </row>
    <row r="273" spans="1:8" ht="48.75" customHeight="1" thickBot="1">
      <c r="A273" s="48"/>
      <c r="B273" s="344" t="s">
        <v>99</v>
      </c>
      <c r="C273" s="345"/>
      <c r="D273" s="345"/>
      <c r="E273" s="342" t="s">
        <v>6</v>
      </c>
      <c r="F273" s="362"/>
      <c r="G273" s="17"/>
      <c r="H273" s="17"/>
    </row>
    <row r="274" spans="1:8" ht="1.5" customHeight="1" hidden="1" thickBot="1">
      <c r="A274" s="105"/>
      <c r="B274" s="105"/>
      <c r="C274" s="111"/>
      <c r="D274" s="111"/>
      <c r="E274" s="343"/>
      <c r="F274" s="367"/>
      <c r="G274" s="17"/>
      <c r="H274" s="17"/>
    </row>
    <row r="275" spans="1:8" ht="26.25" thickBot="1">
      <c r="A275" s="330">
        <v>103</v>
      </c>
      <c r="B275" s="332" t="s">
        <v>101</v>
      </c>
      <c r="C275" s="333"/>
      <c r="D275" s="334"/>
      <c r="E275" s="294" t="s">
        <v>278</v>
      </c>
      <c r="F275" s="338"/>
      <c r="G275" s="228"/>
      <c r="H275" s="17"/>
    </row>
    <row r="276" spans="1:8" ht="30.75" customHeight="1" thickBot="1">
      <c r="A276" s="331"/>
      <c r="B276" s="335"/>
      <c r="C276" s="336"/>
      <c r="D276" s="337"/>
      <c r="E276" s="241">
        <v>1.08</v>
      </c>
      <c r="F276" s="338"/>
      <c r="G276" s="17"/>
      <c r="H276" s="17"/>
    </row>
    <row r="277" spans="1:8" ht="12.75">
      <c r="A277" s="17"/>
      <c r="B277" s="17"/>
      <c r="C277" s="17"/>
      <c r="D277" s="17"/>
      <c r="E277" s="17"/>
      <c r="F277" s="17"/>
      <c r="G277" s="17"/>
      <c r="H277" s="17"/>
    </row>
    <row r="278" spans="1:8" ht="12.75">
      <c r="A278" s="28"/>
      <c r="B278" s="28"/>
      <c r="C278" s="28"/>
      <c r="D278" s="28"/>
      <c r="E278" s="28"/>
      <c r="F278" s="28"/>
      <c r="G278" s="28"/>
      <c r="H278" s="28"/>
    </row>
    <row r="279" spans="1:8" ht="12.75">
      <c r="A279" s="28"/>
      <c r="B279" s="28"/>
      <c r="C279" s="28"/>
      <c r="D279" s="28"/>
      <c r="E279" s="28"/>
      <c r="F279" s="28"/>
      <c r="G279" s="28"/>
      <c r="H279" s="28"/>
    </row>
    <row r="280" spans="1:8" ht="12.75">
      <c r="A280" s="28"/>
      <c r="B280" s="28"/>
      <c r="C280" s="28"/>
      <c r="D280" s="28"/>
      <c r="E280" s="28"/>
      <c r="F280" s="28"/>
      <c r="G280" s="28"/>
      <c r="H280" s="28"/>
    </row>
    <row r="281" spans="1:8" ht="12.75">
      <c r="A281" s="28"/>
      <c r="B281" s="28"/>
      <c r="C281" s="28"/>
      <c r="D281" s="28"/>
      <c r="E281" s="28"/>
      <c r="F281" s="28"/>
      <c r="G281" s="28"/>
      <c r="H281" s="28"/>
    </row>
    <row r="282" spans="1:8" ht="12.75">
      <c r="A282" s="28"/>
      <c r="B282" s="28"/>
      <c r="C282" s="28"/>
      <c r="D282" s="28"/>
      <c r="E282" s="28"/>
      <c r="F282" s="28"/>
      <c r="G282" s="28"/>
      <c r="H282" s="28"/>
    </row>
    <row r="283" spans="1:8" ht="12.75">
      <c r="A283" s="28"/>
      <c r="B283" s="28"/>
      <c r="C283" s="28"/>
      <c r="D283" s="28"/>
      <c r="E283" s="28"/>
      <c r="F283" s="28"/>
      <c r="G283" s="28"/>
      <c r="H283" s="28"/>
    </row>
    <row r="284" spans="1:8" ht="12.75">
      <c r="A284" s="28"/>
      <c r="B284" s="28"/>
      <c r="C284" s="28"/>
      <c r="D284" s="28"/>
      <c r="E284" s="28"/>
      <c r="F284" s="28"/>
      <c r="G284" s="28"/>
      <c r="H284" s="28"/>
    </row>
    <row r="285" spans="1:8" ht="12.75">
      <c r="A285" s="28"/>
      <c r="B285" s="28"/>
      <c r="C285" s="28"/>
      <c r="D285" s="28"/>
      <c r="E285" s="28"/>
      <c r="F285" s="28"/>
      <c r="G285" s="28"/>
      <c r="H285" s="28"/>
    </row>
  </sheetData>
  <sheetProtection/>
  <mergeCells count="192">
    <mergeCell ref="C229:C231"/>
    <mergeCell ref="A252:A253"/>
    <mergeCell ref="B252:D253"/>
    <mergeCell ref="E252:E253"/>
    <mergeCell ref="D229:H229"/>
    <mergeCell ref="A248:F248"/>
    <mergeCell ref="A229:A231"/>
    <mergeCell ref="B229:B231"/>
    <mergeCell ref="A246:F246"/>
    <mergeCell ref="A247:F247"/>
    <mergeCell ref="A210:F210"/>
    <mergeCell ref="D160:F160"/>
    <mergeCell ref="B142:B143"/>
    <mergeCell ref="A152:F152"/>
    <mergeCell ref="A159:F159"/>
    <mergeCell ref="A146:F146"/>
    <mergeCell ref="C196:C198"/>
    <mergeCell ref="A149:F149"/>
    <mergeCell ref="A158:F158"/>
    <mergeCell ref="A155:F155"/>
    <mergeCell ref="A14:F14"/>
    <mergeCell ref="A15:F15"/>
    <mergeCell ref="A84:F84"/>
    <mergeCell ref="A85:A86"/>
    <mergeCell ref="B85:B86"/>
    <mergeCell ref="C85:C86"/>
    <mergeCell ref="D85:F85"/>
    <mergeCell ref="B69:B70"/>
    <mergeCell ref="A64:F64"/>
    <mergeCell ref="A65:F65"/>
    <mergeCell ref="B257:D259"/>
    <mergeCell ref="A251:F251"/>
    <mergeCell ref="A17:F17"/>
    <mergeCell ref="A18:F18"/>
    <mergeCell ref="A10:F10"/>
    <mergeCell ref="A7:F7"/>
    <mergeCell ref="A8:F8"/>
    <mergeCell ref="A9:F9"/>
    <mergeCell ref="A12:F12"/>
    <mergeCell ref="A13:F13"/>
    <mergeCell ref="A211:F211"/>
    <mergeCell ref="A151:F151"/>
    <mergeCell ref="C160:C161"/>
    <mergeCell ref="B167:B169"/>
    <mergeCell ref="A164:F164"/>
    <mergeCell ref="A21:F21"/>
    <mergeCell ref="A24:F24"/>
    <mergeCell ref="A71:F71"/>
    <mergeCell ref="A72:F72"/>
    <mergeCell ref="A73:F73"/>
    <mergeCell ref="A153:F153"/>
    <mergeCell ref="D207:F207"/>
    <mergeCell ref="A124:F124"/>
    <mergeCell ref="A212:F212"/>
    <mergeCell ref="A213:A214"/>
    <mergeCell ref="A165:F165"/>
    <mergeCell ref="A180:F180"/>
    <mergeCell ref="A181:F181"/>
    <mergeCell ref="D196:F196"/>
    <mergeCell ref="A182:F182"/>
    <mergeCell ref="A196:A198"/>
    <mergeCell ref="B196:B198"/>
    <mergeCell ref="A206:F206"/>
    <mergeCell ref="A207:A208"/>
    <mergeCell ref="A19:A20"/>
    <mergeCell ref="B19:B20"/>
    <mergeCell ref="C19:C20"/>
    <mergeCell ref="B185:B186"/>
    <mergeCell ref="B173:B175"/>
    <mergeCell ref="B183:B184"/>
    <mergeCell ref="B106:B108"/>
    <mergeCell ref="B122:B123"/>
    <mergeCell ref="C213:C214"/>
    <mergeCell ref="D213:F213"/>
    <mergeCell ref="A222:H222"/>
    <mergeCell ref="B98:B100"/>
    <mergeCell ref="A125:F125"/>
    <mergeCell ref="A101:F101"/>
    <mergeCell ref="A137:F137"/>
    <mergeCell ref="B127:B128"/>
    <mergeCell ref="A90:F90"/>
    <mergeCell ref="A126:F126"/>
    <mergeCell ref="A118:F118"/>
    <mergeCell ref="A120:F120"/>
    <mergeCell ref="A58:F58"/>
    <mergeCell ref="A89:F89"/>
    <mergeCell ref="A87:F87"/>
    <mergeCell ref="B103:B105"/>
    <mergeCell ref="A109:F109"/>
    <mergeCell ref="B67:B68"/>
    <mergeCell ref="A77:F77"/>
    <mergeCell ref="A144:F144"/>
    <mergeCell ref="B140:B141"/>
    <mergeCell ref="A75:F75"/>
    <mergeCell ref="A76:F76"/>
    <mergeCell ref="A83:F83"/>
    <mergeCell ref="A79:F79"/>
    <mergeCell ref="A88:F88"/>
    <mergeCell ref="B95:B97"/>
    <mergeCell ref="A119:F119"/>
    <mergeCell ref="B62:B63"/>
    <mergeCell ref="A132:F132"/>
    <mergeCell ref="A102:F102"/>
    <mergeCell ref="A59:F59"/>
    <mergeCell ref="A60:F60"/>
    <mergeCell ref="A61:F61"/>
    <mergeCell ref="A78:F78"/>
    <mergeCell ref="B92:B94"/>
    <mergeCell ref="A121:F121"/>
    <mergeCell ref="A66:F66"/>
    <mergeCell ref="A39:F39"/>
    <mergeCell ref="B41:B43"/>
    <mergeCell ref="B55:B57"/>
    <mergeCell ref="A51:F51"/>
    <mergeCell ref="A52:F52"/>
    <mergeCell ref="A54:F54"/>
    <mergeCell ref="A40:F40"/>
    <mergeCell ref="B129:B130"/>
    <mergeCell ref="A138:F138"/>
    <mergeCell ref="A150:F150"/>
    <mergeCell ref="B133:B134"/>
    <mergeCell ref="A131:F131"/>
    <mergeCell ref="A145:F145"/>
    <mergeCell ref="B135:B136"/>
    <mergeCell ref="A139:F139"/>
    <mergeCell ref="A205:F205"/>
    <mergeCell ref="A220:H220"/>
    <mergeCell ref="F273:F274"/>
    <mergeCell ref="F267:F268"/>
    <mergeCell ref="A269:A270"/>
    <mergeCell ref="B269:D270"/>
    <mergeCell ref="F269:F270"/>
    <mergeCell ref="B213:B214"/>
    <mergeCell ref="B207:B208"/>
    <mergeCell ref="C207:C208"/>
    <mergeCell ref="A271:F272"/>
    <mergeCell ref="E267:E268"/>
    <mergeCell ref="A245:F245"/>
    <mergeCell ref="B232:B235"/>
    <mergeCell ref="A223:H223"/>
    <mergeCell ref="B240:B243"/>
    <mergeCell ref="B260:D262"/>
    <mergeCell ref="A249:G249"/>
    <mergeCell ref="G254:G262"/>
    <mergeCell ref="B254:D256"/>
    <mergeCell ref="A194:F194"/>
    <mergeCell ref="B236:B239"/>
    <mergeCell ref="A179:F179"/>
    <mergeCell ref="A195:F195"/>
    <mergeCell ref="A160:A161"/>
    <mergeCell ref="B160:B161"/>
    <mergeCell ref="A221:G221"/>
    <mergeCell ref="A187:F187"/>
    <mergeCell ref="A188:F188"/>
    <mergeCell ref="A204:F204"/>
    <mergeCell ref="A275:A276"/>
    <mergeCell ref="B275:D276"/>
    <mergeCell ref="F275:F276"/>
    <mergeCell ref="A224:H224"/>
    <mergeCell ref="A225:H225"/>
    <mergeCell ref="A226:H226"/>
    <mergeCell ref="A227:H227"/>
    <mergeCell ref="A228:H228"/>
    <mergeCell ref="E273:E274"/>
    <mergeCell ref="B273:D273"/>
    <mergeCell ref="B170:B172"/>
    <mergeCell ref="A162:F162"/>
    <mergeCell ref="A163:F163"/>
    <mergeCell ref="A189:F189"/>
    <mergeCell ref="A190:F190"/>
    <mergeCell ref="A191:F191"/>
    <mergeCell ref="B176:B178"/>
    <mergeCell ref="A193:F193"/>
    <mergeCell ref="A45:F45"/>
    <mergeCell ref="A46:F46"/>
    <mergeCell ref="A47:F47"/>
    <mergeCell ref="B48:B49"/>
    <mergeCell ref="D19:F19"/>
    <mergeCell ref="A23:F23"/>
    <mergeCell ref="B26:B28"/>
    <mergeCell ref="B29:B31"/>
    <mergeCell ref="B32:B34"/>
    <mergeCell ref="B116:B117"/>
    <mergeCell ref="B35:B37"/>
    <mergeCell ref="A110:F110"/>
    <mergeCell ref="A111:F111"/>
    <mergeCell ref="B112:B113"/>
    <mergeCell ref="A114:F114"/>
    <mergeCell ref="A115:F115"/>
    <mergeCell ref="A38:F38"/>
    <mergeCell ref="B80:B81"/>
    <mergeCell ref="A53:F53"/>
  </mergeCells>
  <printOptions/>
  <pageMargins left="1.062992125984252" right="0.11811023622047245" top="0.2362204724409449" bottom="0.15748031496062992" header="0.4330708661417323" footer="0.2755905511811024"/>
  <pageSetup horizontalDpi="600" verticalDpi="600" orientation="portrait" paperSize="9" scale="54" r:id="rId1"/>
  <rowBreaks count="3" manualBreakCount="3">
    <brk id="82" max="255" man="1"/>
    <brk id="157" max="7" man="1"/>
    <brk id="21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SheetLayoutView="100" zoomScalePageLayoutView="0" workbookViewId="0" topLeftCell="A1">
      <selection activeCell="A1" sqref="A1:D21"/>
    </sheetView>
  </sheetViews>
  <sheetFormatPr defaultColWidth="9.00390625" defaultRowHeight="12.75"/>
  <cols>
    <col min="1" max="1" width="8.75390625" style="0" customWidth="1"/>
    <col min="2" max="2" width="40.75390625" style="0" customWidth="1"/>
    <col min="3" max="3" width="16.75390625" style="0" customWidth="1"/>
    <col min="4" max="4" width="26.25390625" style="0" customWidth="1"/>
  </cols>
  <sheetData>
    <row r="1" spans="1:4" ht="19.5">
      <c r="A1" s="421" t="s">
        <v>113</v>
      </c>
      <c r="B1" s="421"/>
      <c r="C1" s="421"/>
      <c r="D1" s="421"/>
    </row>
    <row r="2" spans="1:12" ht="15.75">
      <c r="A2" s="26"/>
      <c r="B2" s="26"/>
      <c r="C2" s="26"/>
      <c r="D2" s="26"/>
      <c r="J2" s="28"/>
      <c r="K2" s="28"/>
      <c r="L2" s="28"/>
    </row>
    <row r="3" spans="1:12" ht="16.5" thickBot="1">
      <c r="A3" s="26"/>
      <c r="B3" s="26"/>
      <c r="C3" s="26"/>
      <c r="D3" s="26"/>
      <c r="J3" s="28"/>
      <c r="K3" s="28"/>
      <c r="L3" s="28"/>
    </row>
    <row r="4" spans="1:12" ht="49.5" customHeight="1" thickBot="1">
      <c r="A4" s="216" t="s">
        <v>3</v>
      </c>
      <c r="B4" s="200" t="s">
        <v>114</v>
      </c>
      <c r="C4" s="182" t="s">
        <v>115</v>
      </c>
      <c r="D4" s="200" t="s">
        <v>116</v>
      </c>
      <c r="J4" s="28"/>
      <c r="K4" s="28"/>
      <c r="L4" s="28"/>
    </row>
    <row r="5" spans="1:12" ht="15.75">
      <c r="A5" s="422" t="s">
        <v>214</v>
      </c>
      <c r="B5" s="423"/>
      <c r="C5" s="423"/>
      <c r="D5" s="424"/>
      <c r="J5" s="28"/>
      <c r="K5" s="28"/>
      <c r="L5" s="28"/>
    </row>
    <row r="6" spans="1:12" ht="15.75">
      <c r="A6" s="425" t="s">
        <v>117</v>
      </c>
      <c r="B6" s="426"/>
      <c r="C6" s="426"/>
      <c r="D6" s="427"/>
      <c r="J6" s="28"/>
      <c r="K6" s="28"/>
      <c r="L6" s="28"/>
    </row>
    <row r="7" spans="1:12" ht="35.25" customHeight="1" hidden="1">
      <c r="A7" s="428" t="s">
        <v>215</v>
      </c>
      <c r="B7" s="429"/>
      <c r="C7" s="429"/>
      <c r="D7" s="430"/>
      <c r="J7" s="28"/>
      <c r="K7" s="28"/>
      <c r="L7" s="28"/>
    </row>
    <row r="8" spans="1:12" ht="39.75" customHeight="1" hidden="1">
      <c r="A8" s="169" t="s">
        <v>125</v>
      </c>
      <c r="B8" s="20" t="s">
        <v>118</v>
      </c>
      <c r="C8" s="19" t="s">
        <v>119</v>
      </c>
      <c r="D8" s="170">
        <v>85800</v>
      </c>
      <c r="J8" s="28"/>
      <c r="K8" s="28"/>
      <c r="L8" s="28"/>
    </row>
    <row r="9" spans="1:12" ht="51.75" customHeight="1" hidden="1">
      <c r="A9" s="169" t="s">
        <v>126</v>
      </c>
      <c r="B9" s="20" t="s">
        <v>120</v>
      </c>
      <c r="C9" s="19" t="s">
        <v>119</v>
      </c>
      <c r="D9" s="170">
        <v>101200</v>
      </c>
      <c r="J9" s="28"/>
      <c r="K9" s="28"/>
      <c r="L9" s="28"/>
    </row>
    <row r="10" spans="1:12" ht="37.5" customHeight="1" hidden="1" thickBot="1">
      <c r="A10" s="169" t="s">
        <v>127</v>
      </c>
      <c r="B10" s="20" t="s">
        <v>121</v>
      </c>
      <c r="C10" s="19" t="s">
        <v>119</v>
      </c>
      <c r="D10" s="170">
        <v>118300</v>
      </c>
      <c r="J10" s="28"/>
      <c r="K10" s="28"/>
      <c r="L10" s="28"/>
    </row>
    <row r="11" spans="1:12" ht="33" customHeight="1" thickBot="1">
      <c r="A11" s="415" t="s">
        <v>216</v>
      </c>
      <c r="B11" s="416"/>
      <c r="C11" s="416"/>
      <c r="D11" s="417"/>
      <c r="J11" s="28"/>
      <c r="K11" s="28"/>
      <c r="L11" s="28"/>
    </row>
    <row r="12" spans="1:12" ht="39" customHeight="1" hidden="1" thickBot="1">
      <c r="A12" s="171"/>
      <c r="B12" s="172"/>
      <c r="C12" s="173"/>
      <c r="D12" s="229" t="s">
        <v>279</v>
      </c>
      <c r="J12" s="28"/>
      <c r="K12" s="28"/>
      <c r="L12" s="28"/>
    </row>
    <row r="13" spans="1:12" ht="41.25" customHeight="1" thickBot="1">
      <c r="A13" s="176" t="s">
        <v>185</v>
      </c>
      <c r="B13" s="178" t="s">
        <v>118</v>
      </c>
      <c r="C13" s="181" t="s">
        <v>119</v>
      </c>
      <c r="D13" s="183">
        <v>21</v>
      </c>
      <c r="J13" s="28"/>
      <c r="K13" s="28"/>
      <c r="L13" s="28"/>
    </row>
    <row r="14" spans="1:12" ht="57" customHeight="1" thickBot="1">
      <c r="A14" s="177" t="s">
        <v>202</v>
      </c>
      <c r="B14" s="179" t="s">
        <v>204</v>
      </c>
      <c r="C14" s="182" t="s">
        <v>119</v>
      </c>
      <c r="D14" s="184">
        <v>25</v>
      </c>
      <c r="J14" s="28"/>
      <c r="K14" s="28"/>
      <c r="L14" s="28"/>
    </row>
    <row r="15" spans="1:12" ht="42" customHeight="1" hidden="1" thickBot="1">
      <c r="A15" s="23" t="s">
        <v>181</v>
      </c>
      <c r="B15" s="174" t="s">
        <v>177</v>
      </c>
      <c r="C15" s="16" t="s">
        <v>119</v>
      </c>
      <c r="D15" s="175">
        <v>188000</v>
      </c>
      <c r="J15" s="28"/>
      <c r="K15" s="28"/>
      <c r="L15" s="28"/>
    </row>
    <row r="16" spans="1:12" ht="16.5" customHeight="1" hidden="1" thickBot="1">
      <c r="A16" s="23" t="s">
        <v>182</v>
      </c>
      <c r="B16" s="24" t="s">
        <v>176</v>
      </c>
      <c r="C16" s="16" t="s">
        <v>119</v>
      </c>
      <c r="D16" s="51">
        <v>204000</v>
      </c>
      <c r="J16" s="28"/>
      <c r="K16" s="28"/>
      <c r="L16" s="28"/>
    </row>
    <row r="17" spans="1:12" ht="30" customHeight="1" hidden="1">
      <c r="A17" s="418" t="s">
        <v>217</v>
      </c>
      <c r="B17" s="419"/>
      <c r="C17" s="419"/>
      <c r="D17" s="420"/>
      <c r="J17" s="28"/>
      <c r="K17" s="28"/>
      <c r="L17" s="28"/>
    </row>
    <row r="18" spans="1:12" ht="15.75" customHeight="1" hidden="1">
      <c r="A18" s="25" t="s">
        <v>128</v>
      </c>
      <c r="B18" s="22" t="s">
        <v>122</v>
      </c>
      <c r="C18" s="15" t="s">
        <v>119</v>
      </c>
      <c r="D18" s="52">
        <v>83600</v>
      </c>
      <c r="J18" s="28"/>
      <c r="K18" s="28"/>
      <c r="L18" s="28"/>
    </row>
    <row r="19" spans="1:12" ht="15.75" customHeight="1" hidden="1">
      <c r="A19" s="21" t="s">
        <v>129</v>
      </c>
      <c r="B19" s="22" t="s">
        <v>123</v>
      </c>
      <c r="C19" s="14" t="s">
        <v>119</v>
      </c>
      <c r="D19" s="52">
        <v>88000</v>
      </c>
      <c r="J19" s="28"/>
      <c r="K19" s="28"/>
      <c r="L19" s="28"/>
    </row>
    <row r="20" spans="1:12" ht="16.5" customHeight="1" hidden="1" thickBot="1">
      <c r="A20" s="50" t="s">
        <v>130</v>
      </c>
      <c r="B20" s="22" t="s">
        <v>124</v>
      </c>
      <c r="C20" s="27" t="s">
        <v>119</v>
      </c>
      <c r="D20" s="53">
        <v>93500</v>
      </c>
      <c r="J20" s="28"/>
      <c r="K20" s="28"/>
      <c r="L20" s="28"/>
    </row>
    <row r="21" spans="1:12" ht="32.25" thickBot="1">
      <c r="A21" s="180" t="s">
        <v>203</v>
      </c>
      <c r="B21" s="179" t="s">
        <v>218</v>
      </c>
      <c r="C21" s="185" t="s">
        <v>119</v>
      </c>
      <c r="D21" s="184">
        <v>27.5</v>
      </c>
      <c r="J21" s="28"/>
      <c r="K21" s="28"/>
      <c r="L21" s="28"/>
    </row>
    <row r="22" spans="1:12" ht="16.5" thickBot="1">
      <c r="A22" s="242"/>
      <c r="B22" s="243"/>
      <c r="C22" s="188"/>
      <c r="D22" s="244"/>
      <c r="J22" s="28"/>
      <c r="K22" s="28"/>
      <c r="L22" s="28"/>
    </row>
    <row r="23" spans="1:12" ht="16.5" thickBot="1">
      <c r="A23" s="412" t="s">
        <v>217</v>
      </c>
      <c r="B23" s="413"/>
      <c r="C23" s="413"/>
      <c r="D23" s="414"/>
      <c r="J23" s="28"/>
      <c r="K23" s="28"/>
      <c r="L23" s="28"/>
    </row>
    <row r="24" spans="1:12" ht="16.5" thickBot="1">
      <c r="A24" s="176" t="s">
        <v>182</v>
      </c>
      <c r="B24" s="178" t="s">
        <v>122</v>
      </c>
      <c r="C24" s="181" t="s">
        <v>119</v>
      </c>
      <c r="D24" s="191">
        <v>18</v>
      </c>
      <c r="J24" s="28"/>
      <c r="K24" s="28"/>
      <c r="L24" s="28"/>
    </row>
    <row r="25" spans="1:12" ht="50.25" customHeight="1" thickBot="1">
      <c r="A25" s="177" t="s">
        <v>183</v>
      </c>
      <c r="B25" s="179" t="s">
        <v>123</v>
      </c>
      <c r="C25" s="182" t="s">
        <v>119</v>
      </c>
      <c r="D25" s="194">
        <v>19</v>
      </c>
      <c r="J25" s="28"/>
      <c r="K25" s="28"/>
      <c r="L25" s="28"/>
    </row>
    <row r="26" spans="1:12" ht="16.5" thickBot="1">
      <c r="A26" s="186" t="s">
        <v>184</v>
      </c>
      <c r="B26" s="192" t="s">
        <v>124</v>
      </c>
      <c r="C26" s="188" t="s">
        <v>119</v>
      </c>
      <c r="D26" s="193">
        <v>20.5</v>
      </c>
      <c r="J26" s="28"/>
      <c r="K26" s="28"/>
      <c r="L26" s="28"/>
    </row>
    <row r="27" spans="10:12" ht="12.75">
      <c r="J27" s="28"/>
      <c r="K27" s="28"/>
      <c r="L27" s="28"/>
    </row>
    <row r="28" spans="10:12" ht="12.75">
      <c r="J28" s="28"/>
      <c r="K28" s="28"/>
      <c r="L28" s="28"/>
    </row>
    <row r="29" spans="10:12" ht="12.75">
      <c r="J29" s="28"/>
      <c r="K29" s="28"/>
      <c r="L29" s="28"/>
    </row>
    <row r="30" spans="10:12" ht="12.75">
      <c r="J30" s="28"/>
      <c r="K30" s="28"/>
      <c r="L30" s="28"/>
    </row>
    <row r="31" spans="10:12" ht="12.75">
      <c r="J31" s="28"/>
      <c r="K31" s="28"/>
      <c r="L31" s="28"/>
    </row>
    <row r="32" spans="10:12" ht="12.75">
      <c r="J32" s="28"/>
      <c r="K32" s="28"/>
      <c r="L32" s="28"/>
    </row>
    <row r="33" spans="10:12" ht="12.75">
      <c r="J33" s="28"/>
      <c r="K33" s="28"/>
      <c r="L33" s="28"/>
    </row>
    <row r="34" spans="10:12" ht="12.75">
      <c r="J34" s="28"/>
      <c r="K34" s="28"/>
      <c r="L34" s="28"/>
    </row>
    <row r="35" spans="10:12" ht="12.75">
      <c r="J35" s="28"/>
      <c r="K35" s="28"/>
      <c r="L35" s="28"/>
    </row>
    <row r="36" spans="10:12" ht="12.75">
      <c r="J36" s="28"/>
      <c r="K36" s="28"/>
      <c r="L36" s="28"/>
    </row>
    <row r="37" spans="10:12" ht="12.75">
      <c r="J37" s="28"/>
      <c r="K37" s="28"/>
      <c r="L37" s="28"/>
    </row>
    <row r="38" spans="10:12" ht="12.75">
      <c r="J38" s="28"/>
      <c r="K38" s="28"/>
      <c r="L38" s="28"/>
    </row>
    <row r="39" spans="10:12" ht="12.75">
      <c r="J39" s="28"/>
      <c r="K39" s="28"/>
      <c r="L39" s="28"/>
    </row>
    <row r="40" spans="10:12" ht="12.75">
      <c r="J40" s="28"/>
      <c r="K40" s="28"/>
      <c r="L40" s="28"/>
    </row>
    <row r="41" spans="10:12" ht="12.75">
      <c r="J41" s="28"/>
      <c r="K41" s="28"/>
      <c r="L41" s="28"/>
    </row>
    <row r="42" spans="10:12" ht="12.75">
      <c r="J42" s="28"/>
      <c r="K42" s="28"/>
      <c r="L42" s="28"/>
    </row>
    <row r="43" spans="10:12" ht="12.75">
      <c r="J43" s="28"/>
      <c r="K43" s="28"/>
      <c r="L43" s="28"/>
    </row>
    <row r="44" spans="10:12" ht="12.75">
      <c r="J44" s="28"/>
      <c r="K44" s="28"/>
      <c r="L44" s="28"/>
    </row>
    <row r="45" spans="10:12" ht="12.75">
      <c r="J45" s="28"/>
      <c r="K45" s="28"/>
      <c r="L45" s="28"/>
    </row>
    <row r="46" spans="10:12" ht="12.75">
      <c r="J46" s="28"/>
      <c r="K46" s="28"/>
      <c r="L46" s="28"/>
    </row>
    <row r="47" spans="10:12" ht="12.75">
      <c r="J47" s="28"/>
      <c r="K47" s="28"/>
      <c r="L47" s="28"/>
    </row>
    <row r="48" spans="10:12" ht="12.75">
      <c r="J48" s="28"/>
      <c r="K48" s="28"/>
      <c r="L48" s="28"/>
    </row>
    <row r="49" spans="10:12" ht="12.75">
      <c r="J49" s="28"/>
      <c r="K49" s="28"/>
      <c r="L49" s="28"/>
    </row>
    <row r="50" spans="10:12" ht="12.75">
      <c r="J50" s="28"/>
      <c r="K50" s="28"/>
      <c r="L50" s="28"/>
    </row>
    <row r="51" spans="10:12" ht="12.75">
      <c r="J51" s="28"/>
      <c r="K51" s="28"/>
      <c r="L51" s="28"/>
    </row>
    <row r="52" spans="10:12" ht="12.75">
      <c r="J52" s="28"/>
      <c r="K52" s="28"/>
      <c r="L52" s="28"/>
    </row>
    <row r="53" spans="10:12" ht="12.75">
      <c r="J53" s="28"/>
      <c r="K53" s="28"/>
      <c r="L53" s="28"/>
    </row>
    <row r="54" spans="10:12" ht="12.75">
      <c r="J54" s="28"/>
      <c r="K54" s="28"/>
      <c r="L54" s="28"/>
    </row>
    <row r="55" spans="10:12" ht="12.75">
      <c r="J55" s="28"/>
      <c r="K55" s="28"/>
      <c r="L55" s="28"/>
    </row>
    <row r="56" spans="10:12" ht="12.75">
      <c r="J56" s="28"/>
      <c r="K56" s="28"/>
      <c r="L56" s="28"/>
    </row>
    <row r="57" spans="10:12" ht="12.75">
      <c r="J57" s="28"/>
      <c r="K57" s="28"/>
      <c r="L57" s="28"/>
    </row>
    <row r="58" spans="10:12" ht="12.75">
      <c r="J58" s="28"/>
      <c r="K58" s="28"/>
      <c r="L58" s="28"/>
    </row>
    <row r="59" spans="10:12" ht="12.75">
      <c r="J59" s="28"/>
      <c r="K59" s="28"/>
      <c r="L59" s="28"/>
    </row>
    <row r="60" spans="10:12" ht="12.75">
      <c r="J60" s="28"/>
      <c r="K60" s="28"/>
      <c r="L60" s="28"/>
    </row>
    <row r="61" spans="10:12" ht="12.75">
      <c r="J61" s="28"/>
      <c r="K61" s="28"/>
      <c r="L61" s="28"/>
    </row>
    <row r="62" spans="10:12" ht="12.75">
      <c r="J62" s="28"/>
      <c r="K62" s="28"/>
      <c r="L62" s="28"/>
    </row>
    <row r="63" spans="10:12" ht="12.75">
      <c r="J63" s="28"/>
      <c r="K63" s="28"/>
      <c r="L63" s="28"/>
    </row>
    <row r="64" spans="10:12" ht="12.75">
      <c r="J64" s="28"/>
      <c r="K64" s="28"/>
      <c r="L64" s="28"/>
    </row>
    <row r="65" spans="10:12" ht="12.75">
      <c r="J65" s="28"/>
      <c r="K65" s="28"/>
      <c r="L65" s="28"/>
    </row>
    <row r="66" spans="10:12" ht="12.75">
      <c r="J66" s="28"/>
      <c r="K66" s="28"/>
      <c r="L66" s="28"/>
    </row>
    <row r="67" spans="10:12" ht="12.75">
      <c r="J67" s="28"/>
      <c r="K67" s="28"/>
      <c r="L67" s="28"/>
    </row>
  </sheetData>
  <sheetProtection/>
  <mergeCells count="7">
    <mergeCell ref="A23:D23"/>
    <mergeCell ref="A11:D11"/>
    <mergeCell ref="A17:D17"/>
    <mergeCell ref="A1:D1"/>
    <mergeCell ref="A5:D5"/>
    <mergeCell ref="A6:D6"/>
    <mergeCell ref="A7:D7"/>
  </mergeCells>
  <printOptions/>
  <pageMargins left="0.984251968503937" right="0.2755905511811024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zoomScalePageLayoutView="0" workbookViewId="0" topLeftCell="A7">
      <selection activeCell="D21" sqref="D21"/>
    </sheetView>
  </sheetViews>
  <sheetFormatPr defaultColWidth="9.00390625" defaultRowHeight="12.75"/>
  <cols>
    <col min="1" max="1" width="8.75390625" style="0" customWidth="1"/>
    <col min="2" max="2" width="43.75390625" style="0" customWidth="1"/>
    <col min="3" max="3" width="16.75390625" style="0" customWidth="1"/>
    <col min="4" max="4" width="18.25390625" style="0" customWidth="1"/>
  </cols>
  <sheetData>
    <row r="1" spans="1:4" ht="19.5">
      <c r="A1" s="440" t="s">
        <v>131</v>
      </c>
      <c r="B1" s="440"/>
      <c r="C1" s="440"/>
      <c r="D1" s="440"/>
    </row>
    <row r="2" spans="1:3" ht="12.75">
      <c r="A2" s="4"/>
      <c r="B2" s="4"/>
      <c r="C2" s="4"/>
    </row>
    <row r="3" spans="1:4" ht="13.5" thickBot="1">
      <c r="A3" s="4"/>
      <c r="B3" s="4"/>
      <c r="C3" s="4"/>
      <c r="D3" s="4"/>
    </row>
    <row r="4" spans="1:6" ht="36" customHeight="1" thickBot="1">
      <c r="A4" s="443" t="s">
        <v>3</v>
      </c>
      <c r="B4" s="443" t="s">
        <v>114</v>
      </c>
      <c r="C4" s="441" t="s">
        <v>115</v>
      </c>
      <c r="D4" s="200" t="s">
        <v>116</v>
      </c>
      <c r="F4" s="4"/>
    </row>
    <row r="5" spans="1:4" ht="54" customHeight="1" hidden="1" thickBot="1">
      <c r="A5" s="357"/>
      <c r="B5" s="357"/>
      <c r="C5" s="442"/>
      <c r="D5" s="95" t="s">
        <v>280</v>
      </c>
    </row>
    <row r="6" spans="1:8" ht="15.75">
      <c r="A6" s="292" t="s">
        <v>125</v>
      </c>
      <c r="B6" s="178" t="s">
        <v>132</v>
      </c>
      <c r="C6" s="181" t="s">
        <v>133</v>
      </c>
      <c r="D6" s="293">
        <v>0.53</v>
      </c>
      <c r="F6" s="74"/>
      <c r="H6" s="226"/>
    </row>
    <row r="7" spans="1:6" ht="17.25" customHeight="1">
      <c r="A7" s="253" t="s">
        <v>126</v>
      </c>
      <c r="B7" s="195" t="s">
        <v>244</v>
      </c>
      <c r="C7" s="199" t="s">
        <v>134</v>
      </c>
      <c r="D7" s="120">
        <v>0.1</v>
      </c>
      <c r="F7" s="225">
        <f aca="true" t="shared" si="0" ref="F7:F13">D7+D7/100*2.8</f>
        <v>0.1028</v>
      </c>
    </row>
    <row r="8" spans="1:6" ht="31.5">
      <c r="A8" s="253" t="s">
        <v>127</v>
      </c>
      <c r="B8" s="195" t="s">
        <v>245</v>
      </c>
      <c r="C8" s="199" t="s">
        <v>134</v>
      </c>
      <c r="D8" s="120">
        <v>0.17</v>
      </c>
      <c r="F8" s="225"/>
    </row>
    <row r="9" spans="1:6" ht="15.75">
      <c r="A9" s="253" t="s">
        <v>267</v>
      </c>
      <c r="B9" s="195" t="s">
        <v>135</v>
      </c>
      <c r="C9" s="199" t="s">
        <v>134</v>
      </c>
      <c r="D9" s="120">
        <v>1.8</v>
      </c>
      <c r="F9" s="74">
        <f t="shared" si="0"/>
        <v>1.8504</v>
      </c>
    </row>
    <row r="10" spans="1:6" ht="15.75">
      <c r="A10" s="253" t="s">
        <v>268</v>
      </c>
      <c r="B10" s="195" t="s">
        <v>136</v>
      </c>
      <c r="C10" s="199" t="s">
        <v>133</v>
      </c>
      <c r="D10" s="120">
        <v>0.38</v>
      </c>
      <c r="F10" s="74">
        <f t="shared" si="0"/>
        <v>0.39064</v>
      </c>
    </row>
    <row r="11" spans="1:6" ht="15.75" hidden="1">
      <c r="A11" s="253" t="s">
        <v>173</v>
      </c>
      <c r="B11" s="196" t="s">
        <v>137</v>
      </c>
      <c r="C11" s="87" t="s">
        <v>134</v>
      </c>
      <c r="D11" s="120">
        <v>1300</v>
      </c>
      <c r="F11" s="225">
        <f t="shared" si="0"/>
        <v>1336.4</v>
      </c>
    </row>
    <row r="12" spans="1:6" ht="15.75" hidden="1">
      <c r="A12" s="254" t="s">
        <v>174</v>
      </c>
      <c r="B12" s="197" t="s">
        <v>138</v>
      </c>
      <c r="C12" s="9" t="s">
        <v>134</v>
      </c>
      <c r="D12" s="201">
        <v>193436</v>
      </c>
      <c r="F12" s="225">
        <f t="shared" si="0"/>
        <v>198852.208</v>
      </c>
    </row>
    <row r="13" spans="1:6" ht="15.75">
      <c r="A13" s="255" t="s">
        <v>269</v>
      </c>
      <c r="B13" s="196" t="s">
        <v>179</v>
      </c>
      <c r="C13" s="87" t="s">
        <v>134</v>
      </c>
      <c r="D13" s="120">
        <v>8.18</v>
      </c>
      <c r="F13" s="74">
        <f t="shared" si="0"/>
        <v>8.40904</v>
      </c>
    </row>
    <row r="14" spans="1:6" ht="15.75" hidden="1">
      <c r="A14" s="255" t="s">
        <v>127</v>
      </c>
      <c r="B14" s="196" t="s">
        <v>179</v>
      </c>
      <c r="C14" s="87" t="s">
        <v>134</v>
      </c>
      <c r="D14" s="120">
        <v>54501</v>
      </c>
      <c r="F14" s="74">
        <f>D14+D14/100*3.3</f>
        <v>56299.533</v>
      </c>
    </row>
    <row r="15" spans="1:8" ht="16.5" thickBot="1">
      <c r="A15" s="256" t="s">
        <v>128</v>
      </c>
      <c r="B15" s="198" t="s">
        <v>219</v>
      </c>
      <c r="C15" s="88" t="s">
        <v>133</v>
      </c>
      <c r="D15" s="121">
        <v>0.74</v>
      </c>
      <c r="F15" s="74"/>
      <c r="H15" s="226"/>
    </row>
    <row r="16" spans="1:4" ht="15.75">
      <c r="A16" s="62"/>
      <c r="B16" s="63"/>
      <c r="C16" s="9"/>
      <c r="D16" s="64"/>
    </row>
    <row r="17" spans="1:4" ht="12.75">
      <c r="A17" s="257"/>
      <c r="B17" s="257"/>
      <c r="C17" s="257"/>
      <c r="D17" s="257"/>
    </row>
    <row r="18" spans="1:4" ht="36" customHeight="1">
      <c r="A18" s="435" t="s">
        <v>253</v>
      </c>
      <c r="B18" s="436"/>
      <c r="C18" s="436"/>
      <c r="D18" s="436"/>
    </row>
    <row r="19" spans="1:4" ht="12.75">
      <c r="A19" s="437"/>
      <c r="B19" s="436"/>
      <c r="C19" s="436"/>
      <c r="D19" s="436"/>
    </row>
    <row r="20" spans="1:4" ht="13.5" thickBot="1">
      <c r="A20" s="438" t="s">
        <v>246</v>
      </c>
      <c r="B20" s="439"/>
      <c r="C20" s="439"/>
      <c r="D20" s="439"/>
    </row>
    <row r="21" spans="1:4" ht="32.25" thickBot="1">
      <c r="A21" s="260" t="s">
        <v>3</v>
      </c>
      <c r="B21" s="245" t="s">
        <v>114</v>
      </c>
      <c r="C21" s="260" t="s">
        <v>87</v>
      </c>
      <c r="D21" s="262" t="s">
        <v>116</v>
      </c>
    </row>
    <row r="22" spans="1:4" ht="18.75">
      <c r="A22" s="261">
        <v>114</v>
      </c>
      <c r="B22" s="431" t="s">
        <v>247</v>
      </c>
      <c r="C22" s="263" t="s">
        <v>248</v>
      </c>
      <c r="D22" s="458">
        <v>5.5</v>
      </c>
    </row>
    <row r="23" spans="1:4" ht="18.75">
      <c r="A23" s="258">
        <v>115</v>
      </c>
      <c r="B23" s="432"/>
      <c r="C23" s="246" t="s">
        <v>249</v>
      </c>
      <c r="D23" s="459">
        <v>7</v>
      </c>
    </row>
    <row r="24" spans="1:4" ht="18.75">
      <c r="A24" s="258">
        <v>116</v>
      </c>
      <c r="B24" s="432"/>
      <c r="C24" s="246" t="s">
        <v>250</v>
      </c>
      <c r="D24" s="459">
        <v>10</v>
      </c>
    </row>
    <row r="25" spans="1:4" ht="18.75">
      <c r="A25" s="258">
        <v>117</v>
      </c>
      <c r="B25" s="433"/>
      <c r="C25" s="246" t="s">
        <v>254</v>
      </c>
      <c r="D25" s="459">
        <v>13</v>
      </c>
    </row>
    <row r="26" spans="1:4" ht="18.75">
      <c r="A26" s="258">
        <v>118</v>
      </c>
      <c r="B26" s="433"/>
      <c r="C26" s="246" t="s">
        <v>255</v>
      </c>
      <c r="D26" s="459">
        <v>21</v>
      </c>
    </row>
    <row r="27" spans="1:4" ht="18.75">
      <c r="A27" s="258">
        <v>119</v>
      </c>
      <c r="B27" s="433"/>
      <c r="C27" s="246" t="s">
        <v>256</v>
      </c>
      <c r="D27" s="459">
        <v>77</v>
      </c>
    </row>
    <row r="28" spans="1:4" ht="19.5" thickBot="1">
      <c r="A28" s="259">
        <v>120</v>
      </c>
      <c r="B28" s="434"/>
      <c r="C28" s="247" t="s">
        <v>257</v>
      </c>
      <c r="D28" s="460">
        <v>112.5</v>
      </c>
    </row>
  </sheetData>
  <sheetProtection/>
  <mergeCells count="8">
    <mergeCell ref="B22:B28"/>
    <mergeCell ref="A18:D18"/>
    <mergeCell ref="A19:D19"/>
    <mergeCell ref="A20:D20"/>
    <mergeCell ref="A1:D1"/>
    <mergeCell ref="C4:C5"/>
    <mergeCell ref="A4:A5"/>
    <mergeCell ref="B4:B5"/>
  </mergeCells>
  <printOptions/>
  <pageMargins left="1.299212598425197" right="0.7480314960629921" top="0.984251968503937" bottom="0.984251968503937" header="0.5118110236220472" footer="0.5118110236220472"/>
  <pageSetup horizontalDpi="600" verticalDpi="600" orientation="portrait" paperSize="9" scale="92" r:id="rId1"/>
  <ignoredErrors>
    <ignoredError sqref="A11:A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L91"/>
  <sheetViews>
    <sheetView view="pageBreakPreview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6.875" style="0" customWidth="1"/>
    <col min="2" max="2" width="71.25390625" style="0" customWidth="1"/>
    <col min="3" max="3" width="13.75390625" style="0" customWidth="1"/>
    <col min="4" max="4" width="18.875" style="0" customWidth="1"/>
    <col min="8" max="8" width="12.75390625" style="0" bestFit="1" customWidth="1"/>
  </cols>
  <sheetData>
    <row r="1" spans="1:4" ht="19.5">
      <c r="A1" s="440" t="s">
        <v>139</v>
      </c>
      <c r="B1" s="440"/>
      <c r="C1" s="440"/>
      <c r="D1" s="60"/>
    </row>
    <row r="2" spans="1:4" ht="16.5" thickBot="1">
      <c r="A2" s="26"/>
      <c r="B2" s="26"/>
      <c r="C2" s="26"/>
      <c r="D2" s="56"/>
    </row>
    <row r="3" spans="1:4" ht="47.25" customHeight="1" thickBot="1">
      <c r="A3" s="216" t="s">
        <v>3</v>
      </c>
      <c r="B3" s="200" t="s">
        <v>140</v>
      </c>
      <c r="C3" s="182" t="s">
        <v>115</v>
      </c>
      <c r="D3" s="200" t="s">
        <v>141</v>
      </c>
    </row>
    <row r="4" spans="1:4" ht="16.5" thickBot="1">
      <c r="A4" s="422" t="s">
        <v>223</v>
      </c>
      <c r="B4" s="384"/>
      <c r="C4" s="384"/>
      <c r="D4" s="92"/>
    </row>
    <row r="5" spans="1:4" ht="57" customHeight="1" hidden="1" thickBot="1">
      <c r="A5" s="93"/>
      <c r="B5" s="93"/>
      <c r="C5" s="94"/>
      <c r="D5" s="229" t="s">
        <v>281</v>
      </c>
    </row>
    <row r="6" spans="1:4" ht="15.75" customHeight="1">
      <c r="A6" s="448">
        <v>121</v>
      </c>
      <c r="B6" s="373" t="s">
        <v>142</v>
      </c>
      <c r="C6" s="112" t="s">
        <v>143</v>
      </c>
      <c r="D6" s="119">
        <v>49.8</v>
      </c>
    </row>
    <row r="7" spans="1:8" ht="13.5" customHeight="1">
      <c r="A7" s="449"/>
      <c r="B7" s="389"/>
      <c r="C7" s="114" t="s">
        <v>144</v>
      </c>
      <c r="D7" s="120">
        <v>1.09</v>
      </c>
      <c r="E7" s="54"/>
      <c r="F7" s="54"/>
      <c r="G7" s="54"/>
      <c r="H7" s="54"/>
    </row>
    <row r="8" spans="1:8" ht="15.75" customHeight="1" thickBot="1">
      <c r="A8" s="450"/>
      <c r="B8" s="374"/>
      <c r="C8" s="113" t="s">
        <v>145</v>
      </c>
      <c r="D8" s="121">
        <v>0.1</v>
      </c>
      <c r="E8" s="54"/>
      <c r="F8" s="54"/>
      <c r="G8" s="54"/>
      <c r="H8" s="54"/>
    </row>
    <row r="9" spans="1:8" ht="14.25" customHeight="1">
      <c r="A9" s="448">
        <v>122</v>
      </c>
      <c r="B9" s="373" t="s">
        <v>221</v>
      </c>
      <c r="C9" s="89" t="s">
        <v>143</v>
      </c>
      <c r="D9" s="119">
        <f>37.17*1.2</f>
        <v>44.604</v>
      </c>
      <c r="E9" s="54"/>
      <c r="F9" s="221"/>
      <c r="G9" s="54"/>
      <c r="H9" s="55"/>
    </row>
    <row r="10" spans="1:8" ht="13.5" customHeight="1">
      <c r="A10" s="449"/>
      <c r="B10" s="389"/>
      <c r="C10" s="87" t="s">
        <v>144</v>
      </c>
      <c r="D10" s="120">
        <f>1.29*1.2</f>
        <v>1.548</v>
      </c>
      <c r="E10" s="54"/>
      <c r="F10" s="54">
        <v>20</v>
      </c>
      <c r="G10" s="54"/>
      <c r="H10" s="54"/>
    </row>
    <row r="11" spans="1:8" ht="14.25" customHeight="1" thickBot="1">
      <c r="A11" s="450"/>
      <c r="B11" s="374"/>
      <c r="C11" s="88" t="s">
        <v>145</v>
      </c>
      <c r="D11" s="121">
        <v>0.1</v>
      </c>
      <c r="E11" s="54"/>
      <c r="F11" s="54"/>
      <c r="G11" s="54"/>
      <c r="H11" s="54"/>
    </row>
    <row r="12" spans="1:8" ht="15" customHeight="1">
      <c r="A12" s="448">
        <v>123</v>
      </c>
      <c r="B12" s="373" t="s">
        <v>222</v>
      </c>
      <c r="C12" s="89" t="s">
        <v>143</v>
      </c>
      <c r="D12" s="119">
        <v>38</v>
      </c>
      <c r="E12" s="54"/>
      <c r="F12" s="54">
        <v>8</v>
      </c>
      <c r="G12" s="54"/>
      <c r="H12" s="54"/>
    </row>
    <row r="13" spans="1:8" ht="15" customHeight="1" thickBot="1">
      <c r="A13" s="450"/>
      <c r="B13" s="374"/>
      <c r="C13" s="88" t="s">
        <v>144</v>
      </c>
      <c r="D13" s="121">
        <v>1.2</v>
      </c>
      <c r="E13" s="54"/>
      <c r="F13" s="54"/>
      <c r="G13" s="54"/>
      <c r="H13" s="54"/>
    </row>
    <row r="14" spans="1:6" ht="15" customHeight="1">
      <c r="A14" s="448">
        <v>124</v>
      </c>
      <c r="B14" s="373" t="s">
        <v>146</v>
      </c>
      <c r="C14" s="89" t="s">
        <v>143</v>
      </c>
      <c r="D14" s="119">
        <v>21.65</v>
      </c>
      <c r="F14">
        <v>15</v>
      </c>
    </row>
    <row r="15" spans="1:4" ht="15.75" customHeight="1" thickBot="1">
      <c r="A15" s="450"/>
      <c r="B15" s="374"/>
      <c r="C15" s="88" t="s">
        <v>144</v>
      </c>
      <c r="D15" s="121">
        <v>0.67</v>
      </c>
    </row>
    <row r="16" spans="1:4" ht="19.5" customHeight="1" thickBot="1">
      <c r="A16" s="155">
        <v>125</v>
      </c>
      <c r="B16" s="156" t="s">
        <v>220</v>
      </c>
      <c r="C16" s="108" t="s">
        <v>143</v>
      </c>
      <c r="D16" s="202">
        <v>20.18</v>
      </c>
    </row>
    <row r="17" spans="1:6" ht="16.5" customHeight="1" thickBot="1">
      <c r="A17" s="155">
        <v>126</v>
      </c>
      <c r="B17" s="156" t="s">
        <v>147</v>
      </c>
      <c r="C17" s="108" t="s">
        <v>143</v>
      </c>
      <c r="D17" s="202">
        <v>26.7</v>
      </c>
      <c r="F17">
        <v>10</v>
      </c>
    </row>
    <row r="18" spans="1:4" ht="14.25" customHeight="1">
      <c r="A18" s="448">
        <v>127</v>
      </c>
      <c r="B18" s="373" t="s">
        <v>172</v>
      </c>
      <c r="C18" s="89" t="s">
        <v>143</v>
      </c>
      <c r="D18" s="119">
        <v>10</v>
      </c>
    </row>
    <row r="19" spans="1:6" ht="14.25" customHeight="1" thickBot="1">
      <c r="A19" s="450"/>
      <c r="B19" s="374"/>
      <c r="C19" s="88" t="s">
        <v>144</v>
      </c>
      <c r="D19" s="121">
        <v>0.82</v>
      </c>
      <c r="F19">
        <v>4.5</v>
      </c>
    </row>
    <row r="20" spans="1:6" ht="18.75" customHeight="1" thickBot="1">
      <c r="A20" s="155">
        <v>128</v>
      </c>
      <c r="B20" s="156" t="s">
        <v>226</v>
      </c>
      <c r="C20" s="108" t="s">
        <v>143</v>
      </c>
      <c r="D20" s="202">
        <v>23.6</v>
      </c>
      <c r="F20">
        <v>15</v>
      </c>
    </row>
    <row r="21" spans="1:12" ht="14.25" customHeight="1">
      <c r="A21" s="444">
        <v>129</v>
      </c>
      <c r="B21" s="373" t="s">
        <v>227</v>
      </c>
      <c r="C21" s="89" t="s">
        <v>143</v>
      </c>
      <c r="D21" s="119">
        <v>24.4</v>
      </c>
      <c r="L21">
        <v>0</v>
      </c>
    </row>
    <row r="22" spans="1:4" ht="14.25" customHeight="1" thickBot="1">
      <c r="A22" s="445"/>
      <c r="B22" s="374"/>
      <c r="C22" s="88" t="s">
        <v>144</v>
      </c>
      <c r="D22" s="121">
        <v>4.29</v>
      </c>
    </row>
    <row r="23" spans="1:4" ht="16.5" customHeight="1">
      <c r="A23" s="366" t="s">
        <v>224</v>
      </c>
      <c r="B23" s="366"/>
      <c r="C23" s="366"/>
      <c r="D23" s="366"/>
    </row>
    <row r="24" spans="1:4" ht="16.5" customHeight="1">
      <c r="A24" s="366"/>
      <c r="B24" s="366"/>
      <c r="C24" s="366"/>
      <c r="D24" s="366"/>
    </row>
    <row r="25" spans="1:4" ht="18" customHeight="1">
      <c r="A25" s="59"/>
      <c r="B25" s="366"/>
      <c r="C25" s="366"/>
      <c r="D25" s="366"/>
    </row>
    <row r="26" spans="1:4" ht="16.5" thickBot="1">
      <c r="A26" s="446" t="s">
        <v>148</v>
      </c>
      <c r="B26" s="447"/>
      <c r="C26" s="447"/>
      <c r="D26" s="447"/>
    </row>
    <row r="27" spans="1:4" ht="30" customHeight="1" hidden="1">
      <c r="A27" s="203">
        <v>173</v>
      </c>
      <c r="B27" s="204" t="s">
        <v>149</v>
      </c>
      <c r="C27" s="205" t="s">
        <v>150</v>
      </c>
      <c r="D27" s="205">
        <v>65800</v>
      </c>
    </row>
    <row r="28" spans="1:5" ht="15.75" customHeight="1">
      <c r="A28" s="456">
        <v>130</v>
      </c>
      <c r="B28" s="453" t="s">
        <v>151</v>
      </c>
      <c r="C28" s="209" t="s">
        <v>143</v>
      </c>
      <c r="D28" s="212">
        <v>143</v>
      </c>
      <c r="E28" s="74"/>
    </row>
    <row r="29" spans="1:4" ht="15" customHeight="1">
      <c r="A29" s="314"/>
      <c r="B29" s="454"/>
      <c r="C29" s="210" t="s">
        <v>144</v>
      </c>
      <c r="D29" s="213">
        <v>1.54</v>
      </c>
    </row>
    <row r="30" spans="1:4" ht="15.75" customHeight="1" thickBot="1">
      <c r="A30" s="457"/>
      <c r="B30" s="455"/>
      <c r="C30" s="211" t="s">
        <v>201</v>
      </c>
      <c r="D30" s="214">
        <v>88.3</v>
      </c>
    </row>
    <row r="31" spans="1:4" ht="27" customHeight="1" hidden="1">
      <c r="A31" s="250">
        <v>122</v>
      </c>
      <c r="B31" s="206" t="s">
        <v>152</v>
      </c>
      <c r="C31" s="187" t="s">
        <v>150</v>
      </c>
      <c r="D31" s="215"/>
    </row>
    <row r="32" spans="1:4" ht="4.5" customHeight="1" hidden="1">
      <c r="A32" s="251">
        <v>123</v>
      </c>
      <c r="B32" s="207" t="s">
        <v>153</v>
      </c>
      <c r="C32" s="199" t="s">
        <v>150</v>
      </c>
      <c r="D32" s="189"/>
    </row>
    <row r="33" spans="1:4" ht="21.75" customHeight="1" hidden="1">
      <c r="A33" s="251">
        <v>124</v>
      </c>
      <c r="B33" s="207" t="s">
        <v>154</v>
      </c>
      <c r="C33" s="199" t="s">
        <v>150</v>
      </c>
      <c r="D33" s="189"/>
    </row>
    <row r="34" spans="1:4" ht="19.5" customHeight="1" hidden="1">
      <c r="A34" s="251"/>
      <c r="B34" s="207" t="s">
        <v>155</v>
      </c>
      <c r="C34" s="199" t="s">
        <v>150</v>
      </c>
      <c r="D34" s="189"/>
    </row>
    <row r="35" spans="1:4" ht="17.25" customHeight="1" hidden="1">
      <c r="A35" s="251"/>
      <c r="B35" s="207" t="s">
        <v>156</v>
      </c>
      <c r="C35" s="199" t="s">
        <v>150</v>
      </c>
      <c r="D35" s="189"/>
    </row>
    <row r="36" spans="1:4" ht="21.75" customHeight="1" hidden="1">
      <c r="A36" s="251">
        <v>125</v>
      </c>
      <c r="B36" s="207" t="s">
        <v>157</v>
      </c>
      <c r="C36" s="199" t="s">
        <v>150</v>
      </c>
      <c r="D36" s="189"/>
    </row>
    <row r="37" spans="1:4" ht="20.25" customHeight="1" hidden="1">
      <c r="A37" s="251"/>
      <c r="B37" s="207" t="s">
        <v>158</v>
      </c>
      <c r="C37" s="199" t="s">
        <v>150</v>
      </c>
      <c r="D37" s="189"/>
    </row>
    <row r="38" spans="1:4" ht="22.5" customHeight="1" hidden="1">
      <c r="A38" s="251"/>
      <c r="B38" s="207" t="s">
        <v>159</v>
      </c>
      <c r="C38" s="199" t="s">
        <v>150</v>
      </c>
      <c r="D38" s="189"/>
    </row>
    <row r="39" spans="1:4" ht="18.75" customHeight="1" hidden="1">
      <c r="A39" s="251"/>
      <c r="B39" s="207" t="s">
        <v>160</v>
      </c>
      <c r="C39" s="199" t="s">
        <v>150</v>
      </c>
      <c r="D39" s="189"/>
    </row>
    <row r="40" spans="1:4" ht="17.25" customHeight="1" hidden="1">
      <c r="A40" s="251"/>
      <c r="B40" s="207" t="s">
        <v>161</v>
      </c>
      <c r="C40" s="199" t="s">
        <v>150</v>
      </c>
      <c r="D40" s="189"/>
    </row>
    <row r="41" spans="1:4" ht="19.5" customHeight="1" hidden="1">
      <c r="A41" s="251"/>
      <c r="B41" s="207" t="s">
        <v>162</v>
      </c>
      <c r="C41" s="199" t="s">
        <v>150</v>
      </c>
      <c r="D41" s="189"/>
    </row>
    <row r="42" spans="1:4" ht="16.5" customHeight="1" hidden="1">
      <c r="A42" s="251"/>
      <c r="B42" s="207" t="s">
        <v>163</v>
      </c>
      <c r="C42" s="199" t="s">
        <v>150</v>
      </c>
      <c r="D42" s="189"/>
    </row>
    <row r="43" spans="1:4" ht="19.5" customHeight="1" hidden="1">
      <c r="A43" s="251">
        <v>126</v>
      </c>
      <c r="B43" s="207" t="s">
        <v>164</v>
      </c>
      <c r="C43" s="199" t="s">
        <v>150</v>
      </c>
      <c r="D43" s="189"/>
    </row>
    <row r="44" spans="1:4" ht="24" customHeight="1" hidden="1">
      <c r="A44" s="251">
        <v>127</v>
      </c>
      <c r="B44" s="207" t="s">
        <v>165</v>
      </c>
      <c r="C44" s="199" t="s">
        <v>150</v>
      </c>
      <c r="D44" s="189"/>
    </row>
    <row r="45" spans="1:4" ht="18" customHeight="1" hidden="1">
      <c r="A45" s="251"/>
      <c r="B45" s="207" t="s">
        <v>155</v>
      </c>
      <c r="C45" s="199" t="s">
        <v>150</v>
      </c>
      <c r="D45" s="189"/>
    </row>
    <row r="46" spans="1:4" ht="20.25" customHeight="1" hidden="1">
      <c r="A46" s="251"/>
      <c r="B46" s="207" t="s">
        <v>156</v>
      </c>
      <c r="C46" s="199" t="s">
        <v>150</v>
      </c>
      <c r="D46" s="189"/>
    </row>
    <row r="47" spans="1:4" ht="19.5" customHeight="1" hidden="1">
      <c r="A47" s="251">
        <v>128</v>
      </c>
      <c r="B47" s="207" t="s">
        <v>166</v>
      </c>
      <c r="C47" s="199" t="s">
        <v>150</v>
      </c>
      <c r="D47" s="189"/>
    </row>
    <row r="48" spans="1:4" ht="15.75" hidden="1">
      <c r="A48" s="251"/>
      <c r="B48" s="207" t="s">
        <v>155</v>
      </c>
      <c r="C48" s="199" t="s">
        <v>150</v>
      </c>
      <c r="D48" s="189"/>
    </row>
    <row r="49" spans="1:4" ht="15.75" hidden="1">
      <c r="A49" s="251"/>
      <c r="B49" s="207" t="s">
        <v>156</v>
      </c>
      <c r="C49" s="199" t="s">
        <v>150</v>
      </c>
      <c r="D49" s="189"/>
    </row>
    <row r="50" spans="1:8" ht="17.25" customHeight="1" thickBot="1">
      <c r="A50" s="252">
        <v>131</v>
      </c>
      <c r="B50" s="208" t="s">
        <v>168</v>
      </c>
      <c r="C50" s="185" t="s">
        <v>169</v>
      </c>
      <c r="D50" s="190">
        <v>68.8</v>
      </c>
      <c r="G50" s="74">
        <f>D50*1.1-0.68</f>
        <v>75</v>
      </c>
      <c r="H50">
        <v>10</v>
      </c>
    </row>
    <row r="51" spans="1:4" ht="40.5" customHeight="1" thickBot="1">
      <c r="A51" s="451" t="s">
        <v>186</v>
      </c>
      <c r="B51" s="451"/>
      <c r="C51" s="451"/>
      <c r="D51" s="452"/>
    </row>
    <row r="52" spans="1:11" ht="58.5" customHeight="1" thickBot="1">
      <c r="A52" s="220" t="s">
        <v>3</v>
      </c>
      <c r="B52" s="220" t="s">
        <v>140</v>
      </c>
      <c r="C52" s="168" t="s">
        <v>115</v>
      </c>
      <c r="D52" s="294" t="s">
        <v>282</v>
      </c>
      <c r="I52">
        <v>133</v>
      </c>
      <c r="K52">
        <v>132</v>
      </c>
    </row>
    <row r="53" spans="1:11" ht="53.25" customHeight="1" thickBot="1">
      <c r="A53" s="165">
        <v>132</v>
      </c>
      <c r="B53" s="134" t="s">
        <v>264</v>
      </c>
      <c r="C53" s="284" t="s">
        <v>187</v>
      </c>
      <c r="D53" s="119">
        <v>277.25</v>
      </c>
      <c r="H53" s="122">
        <f>D55*13+D57+D60*6+D61+D63*14+D64*2+D65*6+D58*2*7+D62*7+D68*2+D69*3</f>
        <v>438.83000000000004</v>
      </c>
      <c r="I53" s="291">
        <f>D55*13+D57+D60*6+D61+D63*14+D64*2+D65*3+D58*2*7+D62*7+D68*2+D69*2</f>
        <v>433.98</v>
      </c>
      <c r="K53" s="290">
        <f>D55*13+D57+D60*6+D61+D63*14+D64*2+D65*6</f>
        <v>349.35</v>
      </c>
    </row>
    <row r="54" spans="1:4" ht="47.25">
      <c r="A54" s="166">
        <v>133</v>
      </c>
      <c r="B54" s="135" t="s">
        <v>265</v>
      </c>
      <c r="C54" s="285" t="s">
        <v>187</v>
      </c>
      <c r="D54" s="146">
        <v>362.2</v>
      </c>
    </row>
    <row r="55" spans="1:8" ht="63">
      <c r="A55" s="166">
        <v>134</v>
      </c>
      <c r="B55" s="135" t="s">
        <v>188</v>
      </c>
      <c r="C55" s="286" t="s">
        <v>189</v>
      </c>
      <c r="D55" s="120">
        <v>20</v>
      </c>
      <c r="E55" s="222"/>
      <c r="G55" s="223"/>
      <c r="H55" s="224"/>
    </row>
    <row r="56" spans="1:5" ht="31.5">
      <c r="A56" s="166">
        <v>135</v>
      </c>
      <c r="B56" s="135" t="s">
        <v>231</v>
      </c>
      <c r="C56" s="286" t="s">
        <v>191</v>
      </c>
      <c r="D56" s="120">
        <v>12</v>
      </c>
      <c r="E56" s="222"/>
    </row>
    <row r="57" spans="1:8" ht="34.5" customHeight="1">
      <c r="A57" s="166">
        <v>136</v>
      </c>
      <c r="B57" s="135" t="s">
        <v>230</v>
      </c>
      <c r="C57" s="286" t="s">
        <v>229</v>
      </c>
      <c r="D57" s="120">
        <v>27</v>
      </c>
      <c r="E57" s="222"/>
      <c r="G57" s="223"/>
      <c r="H57" s="224"/>
    </row>
    <row r="58" spans="1:8" ht="31.5" hidden="1">
      <c r="A58" s="166">
        <v>126</v>
      </c>
      <c r="B58" s="283" t="s">
        <v>241</v>
      </c>
      <c r="C58" s="286" t="s">
        <v>190</v>
      </c>
      <c r="D58" s="120">
        <v>4.13</v>
      </c>
      <c r="E58" s="222"/>
      <c r="H58" s="224"/>
    </row>
    <row r="59" spans="1:8" ht="35.25" customHeight="1">
      <c r="A59" s="166">
        <v>137</v>
      </c>
      <c r="B59" s="135" t="s">
        <v>242</v>
      </c>
      <c r="C59" s="286" t="s">
        <v>243</v>
      </c>
      <c r="D59" s="120">
        <v>40</v>
      </c>
      <c r="E59" s="222"/>
      <c r="H59" s="28"/>
    </row>
    <row r="60" spans="1:8" ht="15.75">
      <c r="A60" s="166">
        <v>138</v>
      </c>
      <c r="B60" s="135" t="s">
        <v>283</v>
      </c>
      <c r="C60" s="286" t="s">
        <v>191</v>
      </c>
      <c r="D60" s="120">
        <v>2.5</v>
      </c>
      <c r="E60" s="222"/>
      <c r="G60" s="223">
        <v>20</v>
      </c>
      <c r="H60" s="224"/>
    </row>
    <row r="61" spans="1:8" ht="15.75">
      <c r="A61" s="166">
        <v>139</v>
      </c>
      <c r="B61" s="135" t="s">
        <v>192</v>
      </c>
      <c r="C61" s="286" t="s">
        <v>187</v>
      </c>
      <c r="D61" s="120">
        <v>1.85</v>
      </c>
      <c r="E61" s="222"/>
      <c r="G61" s="223">
        <v>20</v>
      </c>
      <c r="H61" s="224"/>
    </row>
    <row r="62" spans="1:8" ht="15.75" hidden="1">
      <c r="A62" s="166">
        <v>140</v>
      </c>
      <c r="B62" s="135" t="s">
        <v>193</v>
      </c>
      <c r="C62" s="286" t="s">
        <v>194</v>
      </c>
      <c r="D62" s="120">
        <v>2.58</v>
      </c>
      <c r="E62" s="222"/>
      <c r="G62" s="28"/>
      <c r="H62" s="224"/>
    </row>
    <row r="63" spans="1:8" ht="15.75">
      <c r="A63" s="166">
        <v>140</v>
      </c>
      <c r="B63" s="135" t="s">
        <v>195</v>
      </c>
      <c r="C63" s="286" t="s">
        <v>194</v>
      </c>
      <c r="D63" s="120">
        <v>2</v>
      </c>
      <c r="E63" s="222"/>
      <c r="G63" s="223">
        <v>20</v>
      </c>
      <c r="H63" s="224"/>
    </row>
    <row r="64" spans="1:8" ht="15.75">
      <c r="A64" s="166">
        <v>141</v>
      </c>
      <c r="B64" s="135" t="s">
        <v>167</v>
      </c>
      <c r="C64" s="286" t="s">
        <v>191</v>
      </c>
      <c r="D64" s="120">
        <v>5</v>
      </c>
      <c r="E64" s="222"/>
      <c r="G64" s="223"/>
      <c r="H64" s="224"/>
    </row>
    <row r="65" spans="1:8" ht="15.75">
      <c r="A65" s="166">
        <v>142</v>
      </c>
      <c r="B65" s="135" t="s">
        <v>196</v>
      </c>
      <c r="C65" s="286" t="s">
        <v>191</v>
      </c>
      <c r="D65" s="120">
        <v>1.25</v>
      </c>
      <c r="E65" s="222"/>
      <c r="G65" s="223">
        <v>20</v>
      </c>
      <c r="H65" s="224"/>
    </row>
    <row r="66" spans="1:5" ht="15.75">
      <c r="A66" s="166">
        <v>143</v>
      </c>
      <c r="B66" s="135" t="s">
        <v>232</v>
      </c>
      <c r="C66" s="286" t="s">
        <v>284</v>
      </c>
      <c r="D66" s="120">
        <v>7.2</v>
      </c>
      <c r="E66" s="222"/>
    </row>
    <row r="67" spans="1:5" ht="15.75">
      <c r="A67" s="166">
        <v>144</v>
      </c>
      <c r="B67" s="135" t="s">
        <v>233</v>
      </c>
      <c r="C67" s="286" t="s">
        <v>191</v>
      </c>
      <c r="D67" s="120">
        <v>32</v>
      </c>
      <c r="E67" s="74"/>
    </row>
    <row r="68" spans="1:8" ht="15.75">
      <c r="A68" s="166">
        <v>145</v>
      </c>
      <c r="B68" s="135" t="s">
        <v>234</v>
      </c>
      <c r="C68" s="286" t="s">
        <v>191</v>
      </c>
      <c r="D68" s="120">
        <v>5.15</v>
      </c>
      <c r="E68" s="222"/>
      <c r="H68" s="224"/>
    </row>
    <row r="69" spans="1:8" ht="15" customHeight="1">
      <c r="A69" s="281">
        <v>146</v>
      </c>
      <c r="B69" s="279" t="s">
        <v>197</v>
      </c>
      <c r="C69" s="287" t="s">
        <v>198</v>
      </c>
      <c r="D69" s="282">
        <v>1.1</v>
      </c>
      <c r="E69" s="222"/>
      <c r="G69">
        <v>20</v>
      </c>
      <c r="H69" s="224"/>
    </row>
    <row r="70" spans="1:4" ht="15.75">
      <c r="A70" s="258">
        <v>147</v>
      </c>
      <c r="B70" s="289" t="s">
        <v>270</v>
      </c>
      <c r="C70" s="246" t="s">
        <v>272</v>
      </c>
      <c r="D70" s="264">
        <v>5</v>
      </c>
    </row>
    <row r="71" spans="1:4" ht="15.75">
      <c r="A71" s="258">
        <v>148</v>
      </c>
      <c r="B71" s="246" t="s">
        <v>271</v>
      </c>
      <c r="C71" s="246" t="s">
        <v>272</v>
      </c>
      <c r="D71" s="264">
        <v>3</v>
      </c>
    </row>
    <row r="72" spans="1:4" ht="16.5" thickBot="1">
      <c r="A72" s="259">
        <v>149</v>
      </c>
      <c r="B72" s="288" t="s">
        <v>273</v>
      </c>
      <c r="C72" s="286" t="s">
        <v>191</v>
      </c>
      <c r="D72" s="265">
        <v>10</v>
      </c>
    </row>
    <row r="89" ht="48" customHeight="1">
      <c r="B89" s="66" t="s">
        <v>225</v>
      </c>
    </row>
    <row r="90" ht="37.5">
      <c r="B90" s="66" t="s">
        <v>228</v>
      </c>
    </row>
    <row r="91" ht="37.5">
      <c r="B91" s="66" t="s">
        <v>240</v>
      </c>
    </row>
  </sheetData>
  <sheetProtection/>
  <mergeCells count="20">
    <mergeCell ref="A51:D51"/>
    <mergeCell ref="B28:B30"/>
    <mergeCell ref="A23:D24"/>
    <mergeCell ref="B25:D25"/>
    <mergeCell ref="B18:B19"/>
    <mergeCell ref="A12:A13"/>
    <mergeCell ref="A14:A15"/>
    <mergeCell ref="A18:A19"/>
    <mergeCell ref="A28:A30"/>
    <mergeCell ref="B21:B22"/>
    <mergeCell ref="A21:A22"/>
    <mergeCell ref="A26:D26"/>
    <mergeCell ref="A1:C1"/>
    <mergeCell ref="B9:B11"/>
    <mergeCell ref="B12:B13"/>
    <mergeCell ref="B14:B15"/>
    <mergeCell ref="A6:A8"/>
    <mergeCell ref="A9:A11"/>
    <mergeCell ref="A4:C4"/>
    <mergeCell ref="B6:B8"/>
  </mergeCells>
  <printOptions/>
  <pageMargins left="0.5118110236220472" right="0.2362204724409449" top="0.35433070866141736" bottom="0.15748031496062992" header="0.35433070866141736" footer="0.2755905511811024"/>
  <pageSetup horizontalDpi="600" verticalDpi="600" orientation="portrait" paperSize="9" scale="85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Экон_цены</cp:lastModifiedBy>
  <cp:lastPrinted>2018-10-26T11:19:15Z</cp:lastPrinted>
  <dcterms:created xsi:type="dcterms:W3CDTF">2011-04-29T06:47:54Z</dcterms:created>
  <dcterms:modified xsi:type="dcterms:W3CDTF">2018-12-12T08:11:17Z</dcterms:modified>
  <cp:category/>
  <cp:version/>
  <cp:contentType/>
  <cp:contentStatus/>
</cp:coreProperties>
</file>